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7" rupBuild="4505"/>
  <workbookPr/>
  <bookViews>
    <workbookView xWindow="-105" yWindow="-105" windowWidth="23250" windowHeight="12570" tabRatio="902" activeTab="9"/>
  </bookViews>
  <sheets>
    <sheet name="Note compilazione" sheetId="1" r:id="rId1"/>
    <sheet name="Dati generali-anagrafici" sheetId="2" r:id="rId2"/>
    <sheet name="Servizi di Trasporto Dati" sheetId="5" r:id="rId3"/>
    <sheet name="Servizi di Posta Elettronica" sheetId="17" r:id="rId4"/>
    <sheet name="Servizi di Sicurezza Perimetr." sheetId="25" r:id="rId5"/>
    <sheet name="Servizi Com. Evoluta - VoIP" sheetId="21" r:id="rId6"/>
    <sheet name="Servizi Com. Evoluta-Telepres." sheetId="22" r:id="rId7"/>
    <sheet name="Servizi di Supp. Professionale" sheetId="23" r:id="rId8"/>
    <sheet name="Listini" sheetId="27" r:id="rId9"/>
    <sheet name="Base d'asta" sheetId="30" r:id="rId10"/>
    <sheet name="Riepilogo Fabbisogni" sheetId="24" state="hidden" r:id="rId11"/>
    <sheet name="Listino Offerta" sheetId="29" r:id="rId12"/>
    <sheet name="Riepilogo Costi Contratto" sheetId="7" r:id="rId13"/>
  </sheets>
  <definedNames>
    <definedName name="_xlnm._FilterDatabase" localSheetId="2" hidden="1">'Servizi di Trasporto Dati'!$X$5:$X$42</definedName>
    <definedName name="_Toc327268809" localSheetId="8">Listini!#REF!</definedName>
    <definedName name="_Toc327268809" localSheetId="11">'Listino Offerta'!#REF!</definedName>
    <definedName name="_Toc327268810" localSheetId="8">Listini!#REF!</definedName>
    <definedName name="_Toc327268810" localSheetId="11">'Listino Offerta'!#REF!</definedName>
    <definedName name="acc_mens">#REF!</definedName>
    <definedName name="_xlnm.Print_Area" localSheetId="9">'Base d''asta'!$B$2:$O$10</definedName>
    <definedName name="AVG">#REF!</definedName>
    <definedName name="banda">#REF!</definedName>
    <definedName name="BMA">#REF!</definedName>
    <definedName name="ELM">#REF!</definedName>
    <definedName name="FE_mens">#REF!</definedName>
    <definedName name="FTP">#REF!</definedName>
    <definedName name="HIDS">#REF!</definedName>
    <definedName name="Housing">#REF!</definedName>
    <definedName name="HS">#REF!</definedName>
    <definedName name="HTTP">#REF!</definedName>
    <definedName name="livelli">#REF!</definedName>
    <definedName name="NAT">#REF!</definedName>
    <definedName name="NF">#REF!</definedName>
    <definedName name="NIDS">#REF!</definedName>
    <definedName name="PF">#REF!</definedName>
    <definedName name="profili">#REF!</definedName>
    <definedName name="TR_HP">#REF!</definedName>
    <definedName name="TR_mens">#REF!</definedName>
    <definedName name="VA">#REF!</definedName>
    <definedName name="VPN">#REF!</definedName>
  </definedNames>
  <calcPr calcId="12451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C98" i="24"/>
  <c r="R38" l="1"/>
  <c r="R46"/>
  <c r="K51"/>
  <c r="Q51" s="1"/>
  <c r="I32"/>
  <c r="J32"/>
  <c r="K32"/>
  <c r="I33"/>
  <c r="J33"/>
  <c r="K33"/>
  <c r="I34"/>
  <c r="J34"/>
  <c r="K34"/>
  <c r="I35"/>
  <c r="J35"/>
  <c r="K35"/>
  <c r="I36"/>
  <c r="J36"/>
  <c r="K36"/>
  <c r="I37"/>
  <c r="J37"/>
  <c r="K37"/>
  <c r="I38"/>
  <c r="J38"/>
  <c r="K38"/>
  <c r="I39"/>
  <c r="J39"/>
  <c r="K39"/>
  <c r="I40"/>
  <c r="J40"/>
  <c r="K40"/>
  <c r="I41"/>
  <c r="J41"/>
  <c r="K41"/>
  <c r="I42"/>
  <c r="J42"/>
  <c r="K42"/>
  <c r="I43"/>
  <c r="J43"/>
  <c r="K43"/>
  <c r="I44"/>
  <c r="J44"/>
  <c r="K44"/>
  <c r="I45"/>
  <c r="J45"/>
  <c r="K45"/>
  <c r="I46"/>
  <c r="J46"/>
  <c r="K46"/>
  <c r="I47"/>
  <c r="J47"/>
  <c r="K47"/>
  <c r="I48"/>
  <c r="J48"/>
  <c r="K48"/>
  <c r="I49"/>
  <c r="J49"/>
  <c r="K49"/>
  <c r="I50"/>
  <c r="J50"/>
  <c r="K50"/>
  <c r="K31"/>
  <c r="J31"/>
  <c r="I31"/>
  <c r="B32"/>
  <c r="L32" s="1"/>
  <c r="B34"/>
  <c r="L34" s="1"/>
  <c r="B36"/>
  <c r="L36" s="1"/>
  <c r="B37"/>
  <c r="B38"/>
  <c r="L38" s="1"/>
  <c r="B39"/>
  <c r="L39" s="1"/>
  <c r="B40"/>
  <c r="L40" s="1"/>
  <c r="B41"/>
  <c r="B42"/>
  <c r="L42" s="1"/>
  <c r="B43"/>
  <c r="L43" s="1"/>
  <c r="B44"/>
  <c r="L44" s="1"/>
  <c r="B45"/>
  <c r="B46"/>
  <c r="L46" s="1"/>
  <c r="B47"/>
  <c r="L47" s="1"/>
  <c r="B48"/>
  <c r="L48" s="1"/>
  <c r="B49"/>
  <c r="B50"/>
  <c r="L50" s="1"/>
  <c r="M6" i="25"/>
  <c r="M7"/>
  <c r="M8"/>
  <c r="M9"/>
  <c r="M10"/>
  <c r="M11"/>
  <c r="M12"/>
  <c r="M13"/>
  <c r="M14"/>
  <c r="M15"/>
  <c r="M16"/>
  <c r="M17"/>
  <c r="M18"/>
  <c r="M19"/>
  <c r="M20"/>
  <c r="M21"/>
  <c r="M22"/>
  <c r="M23"/>
  <c r="M24"/>
  <c r="M5"/>
  <c r="B31" i="24"/>
  <c r="C32"/>
  <c r="D32"/>
  <c r="E32"/>
  <c r="F32"/>
  <c r="G32"/>
  <c r="H32"/>
  <c r="C33"/>
  <c r="D33"/>
  <c r="E33"/>
  <c r="F33"/>
  <c r="G33"/>
  <c r="H33"/>
  <c r="C34"/>
  <c r="D34"/>
  <c r="E34"/>
  <c r="F34"/>
  <c r="G34"/>
  <c r="H34"/>
  <c r="C35"/>
  <c r="D35"/>
  <c r="E35"/>
  <c r="F35"/>
  <c r="G35"/>
  <c r="H35"/>
  <c r="C36"/>
  <c r="D36"/>
  <c r="E36"/>
  <c r="F36"/>
  <c r="G36"/>
  <c r="H36"/>
  <c r="C37"/>
  <c r="D37"/>
  <c r="E37"/>
  <c r="F37"/>
  <c r="G37"/>
  <c r="H37"/>
  <c r="C38"/>
  <c r="D38"/>
  <c r="E38"/>
  <c r="F38"/>
  <c r="G38"/>
  <c r="H38"/>
  <c r="C39"/>
  <c r="D39"/>
  <c r="E39"/>
  <c r="F39"/>
  <c r="G39"/>
  <c r="H39"/>
  <c r="C40"/>
  <c r="D40"/>
  <c r="E40"/>
  <c r="F40"/>
  <c r="G40"/>
  <c r="H40"/>
  <c r="C41"/>
  <c r="D41"/>
  <c r="E41"/>
  <c r="F41"/>
  <c r="G41"/>
  <c r="H41"/>
  <c r="C42"/>
  <c r="D42"/>
  <c r="E42"/>
  <c r="F42"/>
  <c r="G42"/>
  <c r="H42"/>
  <c r="C43"/>
  <c r="D43"/>
  <c r="E43"/>
  <c r="F43"/>
  <c r="G43"/>
  <c r="H43"/>
  <c r="C44"/>
  <c r="D44"/>
  <c r="E44"/>
  <c r="F44"/>
  <c r="G44"/>
  <c r="H44"/>
  <c r="C45"/>
  <c r="D45"/>
  <c r="E45"/>
  <c r="F45"/>
  <c r="G45"/>
  <c r="H45"/>
  <c r="C46"/>
  <c r="D46"/>
  <c r="E46"/>
  <c r="F46"/>
  <c r="G46"/>
  <c r="H46"/>
  <c r="C47"/>
  <c r="D47"/>
  <c r="E47"/>
  <c r="F47"/>
  <c r="G47"/>
  <c r="H47"/>
  <c r="C48"/>
  <c r="D48"/>
  <c r="E48"/>
  <c r="F48"/>
  <c r="G48"/>
  <c r="H48"/>
  <c r="C49"/>
  <c r="D49"/>
  <c r="E49"/>
  <c r="F49"/>
  <c r="G49"/>
  <c r="H49"/>
  <c r="C50"/>
  <c r="D50"/>
  <c r="E50"/>
  <c r="F50"/>
  <c r="G50"/>
  <c r="H50"/>
  <c r="C31"/>
  <c r="D31"/>
  <c r="E31"/>
  <c r="F31"/>
  <c r="G31"/>
  <c r="H31"/>
  <c r="C22" i="25"/>
  <c r="C23"/>
  <c r="C24"/>
  <c r="C7"/>
  <c r="C8"/>
  <c r="C9"/>
  <c r="C10"/>
  <c r="C11"/>
  <c r="C12"/>
  <c r="C13"/>
  <c r="C14"/>
  <c r="C15"/>
  <c r="C16"/>
  <c r="C17"/>
  <c r="C18"/>
  <c r="C19"/>
  <c r="C20"/>
  <c r="C21"/>
  <c r="C6"/>
  <c r="C5"/>
  <c r="C5" i="5"/>
  <c r="B27" i="24"/>
  <c r="J27" s="1"/>
  <c r="B26"/>
  <c r="G26" s="1"/>
  <c r="AF6" i="5"/>
  <c r="AF7"/>
  <c r="B33" i="24" s="1"/>
  <c r="L33" s="1"/>
  <c r="AF8" i="5"/>
  <c r="AF9"/>
  <c r="B35" i="24" s="1"/>
  <c r="L35" s="1"/>
  <c r="AF10" i="5"/>
  <c r="AF11"/>
  <c r="AF12"/>
  <c r="AF13"/>
  <c r="AF14"/>
  <c r="AF15"/>
  <c r="AF16"/>
  <c r="AF17"/>
  <c r="AF18"/>
  <c r="AF19"/>
  <c r="AF20"/>
  <c r="AF21"/>
  <c r="AF22"/>
  <c r="AF23"/>
  <c r="AF24"/>
  <c r="AF5"/>
  <c r="N24"/>
  <c r="N23"/>
  <c r="N22"/>
  <c r="N21"/>
  <c r="N20"/>
  <c r="N19"/>
  <c r="N18"/>
  <c r="N17"/>
  <c r="N16"/>
  <c r="N15"/>
  <c r="N14"/>
  <c r="N13"/>
  <c r="N12"/>
  <c r="N11"/>
  <c r="N10"/>
  <c r="N9"/>
  <c r="N8"/>
  <c r="N7"/>
  <c r="N6"/>
  <c r="N5"/>
  <c r="C6" i="21"/>
  <c r="B4" i="24"/>
  <c r="B5"/>
  <c r="B6"/>
  <c r="S6" s="1"/>
  <c r="B7"/>
  <c r="B8"/>
  <c r="B9"/>
  <c r="O9" s="1"/>
  <c r="B10"/>
  <c r="S10" s="1"/>
  <c r="B11"/>
  <c r="B12"/>
  <c r="B13"/>
  <c r="O13" s="1"/>
  <c r="B14"/>
  <c r="S14" s="1"/>
  <c r="B15"/>
  <c r="B16"/>
  <c r="O16" s="1"/>
  <c r="B17"/>
  <c r="W17" s="1"/>
  <c r="B18"/>
  <c r="N18" s="1"/>
  <c r="B19"/>
  <c r="S19" s="1"/>
  <c r="B20"/>
  <c r="B21"/>
  <c r="O21" s="1"/>
  <c r="B22"/>
  <c r="B3"/>
  <c r="C3"/>
  <c r="G3"/>
  <c r="D3"/>
  <c r="E3"/>
  <c r="F3"/>
  <c r="H3"/>
  <c r="I3"/>
  <c r="B94"/>
  <c r="C94"/>
  <c r="D94"/>
  <c r="E94"/>
  <c r="F94"/>
  <c r="G94"/>
  <c r="C5"/>
  <c r="D5"/>
  <c r="E5"/>
  <c r="F5"/>
  <c r="G5"/>
  <c r="H5"/>
  <c r="I5"/>
  <c r="J5"/>
  <c r="K5"/>
  <c r="L5"/>
  <c r="C6"/>
  <c r="D6"/>
  <c r="E6"/>
  <c r="F6"/>
  <c r="G6"/>
  <c r="H6"/>
  <c r="I6"/>
  <c r="J6"/>
  <c r="K6"/>
  <c r="L6"/>
  <c r="C7"/>
  <c r="D7"/>
  <c r="E7"/>
  <c r="F7"/>
  <c r="G7"/>
  <c r="H7"/>
  <c r="I7"/>
  <c r="J7"/>
  <c r="K7"/>
  <c r="L7"/>
  <c r="C8"/>
  <c r="D8"/>
  <c r="E8"/>
  <c r="F8"/>
  <c r="G8"/>
  <c r="H8"/>
  <c r="I8"/>
  <c r="J8"/>
  <c r="K8"/>
  <c r="L8"/>
  <c r="C9"/>
  <c r="D9"/>
  <c r="E9"/>
  <c r="F9"/>
  <c r="G9"/>
  <c r="H9"/>
  <c r="I9"/>
  <c r="J9"/>
  <c r="K9"/>
  <c r="L9"/>
  <c r="C10"/>
  <c r="D10"/>
  <c r="E10"/>
  <c r="F10"/>
  <c r="G10"/>
  <c r="H10"/>
  <c r="I10"/>
  <c r="J10"/>
  <c r="K10"/>
  <c r="L10"/>
  <c r="C11"/>
  <c r="D11"/>
  <c r="E11"/>
  <c r="F11"/>
  <c r="G11"/>
  <c r="H11"/>
  <c r="I11"/>
  <c r="J11"/>
  <c r="K11"/>
  <c r="L11"/>
  <c r="C12"/>
  <c r="D12"/>
  <c r="E12"/>
  <c r="F12"/>
  <c r="G12"/>
  <c r="H12"/>
  <c r="I12"/>
  <c r="J12"/>
  <c r="K12"/>
  <c r="L12"/>
  <c r="C13"/>
  <c r="D13"/>
  <c r="E13"/>
  <c r="F13"/>
  <c r="G13"/>
  <c r="H13"/>
  <c r="I13"/>
  <c r="J13"/>
  <c r="K13"/>
  <c r="L13"/>
  <c r="C14"/>
  <c r="D14"/>
  <c r="E14"/>
  <c r="F14"/>
  <c r="G14"/>
  <c r="H14"/>
  <c r="I14"/>
  <c r="J14"/>
  <c r="K14"/>
  <c r="L14"/>
  <c r="C15"/>
  <c r="D15"/>
  <c r="E15"/>
  <c r="F15"/>
  <c r="G15"/>
  <c r="H15"/>
  <c r="I15"/>
  <c r="J15"/>
  <c r="K15"/>
  <c r="L15"/>
  <c r="C16"/>
  <c r="D16"/>
  <c r="E16"/>
  <c r="F16"/>
  <c r="G16"/>
  <c r="H16"/>
  <c r="I16"/>
  <c r="J16"/>
  <c r="K16"/>
  <c r="L16"/>
  <c r="C17"/>
  <c r="D17"/>
  <c r="E17"/>
  <c r="F17"/>
  <c r="G17"/>
  <c r="H17"/>
  <c r="I17"/>
  <c r="J17"/>
  <c r="K17"/>
  <c r="L17"/>
  <c r="C18"/>
  <c r="D18"/>
  <c r="E18"/>
  <c r="F18"/>
  <c r="G18"/>
  <c r="H18"/>
  <c r="I18"/>
  <c r="J18"/>
  <c r="K18"/>
  <c r="L18"/>
  <c r="C19"/>
  <c r="D19"/>
  <c r="E19"/>
  <c r="F19"/>
  <c r="G19"/>
  <c r="H19"/>
  <c r="I19"/>
  <c r="J19"/>
  <c r="K19"/>
  <c r="L19"/>
  <c r="C20"/>
  <c r="D20"/>
  <c r="E20"/>
  <c r="F20"/>
  <c r="G20"/>
  <c r="H20"/>
  <c r="I20"/>
  <c r="J20"/>
  <c r="K20"/>
  <c r="L20"/>
  <c r="C21"/>
  <c r="D21"/>
  <c r="E21"/>
  <c r="F21"/>
  <c r="G21"/>
  <c r="H21"/>
  <c r="I21"/>
  <c r="J21"/>
  <c r="K21"/>
  <c r="L21"/>
  <c r="C22"/>
  <c r="D22"/>
  <c r="E22"/>
  <c r="F22"/>
  <c r="G22"/>
  <c r="H22"/>
  <c r="I22"/>
  <c r="J22"/>
  <c r="K22"/>
  <c r="L22"/>
  <c r="C26" i="21"/>
  <c r="C27"/>
  <c r="C28"/>
  <c r="C29"/>
  <c r="C30"/>
  <c r="C31"/>
  <c r="C32"/>
  <c r="C33"/>
  <c r="C34"/>
  <c r="C35"/>
  <c r="C36"/>
  <c r="C37"/>
  <c r="C38"/>
  <c r="C39"/>
  <c r="C40"/>
  <c r="C41"/>
  <c r="C42"/>
  <c r="C43"/>
  <c r="C25"/>
  <c r="C24"/>
  <c r="I43"/>
  <c r="C24" i="5"/>
  <c r="C7"/>
  <c r="C8"/>
  <c r="C9"/>
  <c r="C10"/>
  <c r="C11"/>
  <c r="C12"/>
  <c r="C13"/>
  <c r="C14"/>
  <c r="C15"/>
  <c r="C16"/>
  <c r="C17"/>
  <c r="C18"/>
  <c r="C19"/>
  <c r="C20"/>
  <c r="C21"/>
  <c r="C22"/>
  <c r="C23"/>
  <c r="C6"/>
  <c r="B55" i="24"/>
  <c r="B59"/>
  <c r="B63"/>
  <c r="B64"/>
  <c r="N64" s="1"/>
  <c r="B65"/>
  <c r="B66"/>
  <c r="F66" s="1"/>
  <c r="B67"/>
  <c r="B68"/>
  <c r="B69"/>
  <c r="J69" s="1"/>
  <c r="B70"/>
  <c r="B71"/>
  <c r="J71" s="1"/>
  <c r="B75"/>
  <c r="B76"/>
  <c r="B77"/>
  <c r="B78"/>
  <c r="B79"/>
  <c r="B80"/>
  <c r="B81"/>
  <c r="B82"/>
  <c r="B83"/>
  <c r="B84"/>
  <c r="P84" s="1"/>
  <c r="B85"/>
  <c r="B86"/>
  <c r="B87"/>
  <c r="B88"/>
  <c r="B89"/>
  <c r="B90"/>
  <c r="B91"/>
  <c r="B92"/>
  <c r="B93"/>
  <c r="A98"/>
  <c r="B98" s="1"/>
  <c r="B102"/>
  <c r="B103"/>
  <c r="B104"/>
  <c r="B105"/>
  <c r="B106"/>
  <c r="C76"/>
  <c r="D76"/>
  <c r="E76"/>
  <c r="F76"/>
  <c r="G76"/>
  <c r="C77"/>
  <c r="D77"/>
  <c r="E77"/>
  <c r="F77"/>
  <c r="G77"/>
  <c r="C78"/>
  <c r="D78"/>
  <c r="E78"/>
  <c r="F78"/>
  <c r="G78"/>
  <c r="C79"/>
  <c r="D79"/>
  <c r="E79"/>
  <c r="F79"/>
  <c r="G79"/>
  <c r="C80"/>
  <c r="D80"/>
  <c r="E80"/>
  <c r="F80"/>
  <c r="G80"/>
  <c r="C81"/>
  <c r="D81"/>
  <c r="E81"/>
  <c r="F81"/>
  <c r="G81"/>
  <c r="C82"/>
  <c r="D82"/>
  <c r="E82"/>
  <c r="F82"/>
  <c r="G82"/>
  <c r="C83"/>
  <c r="D83"/>
  <c r="E83"/>
  <c r="F83"/>
  <c r="G83"/>
  <c r="C84"/>
  <c r="D84"/>
  <c r="E84"/>
  <c r="F84"/>
  <c r="G84"/>
  <c r="C85"/>
  <c r="D85"/>
  <c r="E85"/>
  <c r="F85"/>
  <c r="G85"/>
  <c r="C86"/>
  <c r="D86"/>
  <c r="E86"/>
  <c r="F86"/>
  <c r="G86"/>
  <c r="C87"/>
  <c r="D87"/>
  <c r="E87"/>
  <c r="F87"/>
  <c r="G87"/>
  <c r="C88"/>
  <c r="D88"/>
  <c r="E88"/>
  <c r="F88"/>
  <c r="G88"/>
  <c r="C89"/>
  <c r="D89"/>
  <c r="E89"/>
  <c r="F89"/>
  <c r="G89"/>
  <c r="C90"/>
  <c r="D90"/>
  <c r="E90"/>
  <c r="F90"/>
  <c r="G90"/>
  <c r="C91"/>
  <c r="D91"/>
  <c r="E91"/>
  <c r="F91"/>
  <c r="G91"/>
  <c r="C92"/>
  <c r="D92"/>
  <c r="E92"/>
  <c r="F92"/>
  <c r="G92"/>
  <c r="C93"/>
  <c r="D93"/>
  <c r="E93"/>
  <c r="F93"/>
  <c r="G93"/>
  <c r="D4"/>
  <c r="F4"/>
  <c r="E4"/>
  <c r="H4"/>
  <c r="I4"/>
  <c r="C4"/>
  <c r="G4"/>
  <c r="J4"/>
  <c r="K4"/>
  <c r="L4"/>
  <c r="I42" i="21"/>
  <c r="C55" i="24"/>
  <c r="D55"/>
  <c r="E55"/>
  <c r="F55"/>
  <c r="G55"/>
  <c r="H55"/>
  <c r="C59"/>
  <c r="D59"/>
  <c r="C63"/>
  <c r="C64"/>
  <c r="C65"/>
  <c r="C66"/>
  <c r="C67"/>
  <c r="C68"/>
  <c r="C69"/>
  <c r="C70"/>
  <c r="C71"/>
  <c r="E98"/>
  <c r="F98"/>
  <c r="G98"/>
  <c r="C102"/>
  <c r="C103"/>
  <c r="C104"/>
  <c r="C105"/>
  <c r="C106"/>
  <c r="C75"/>
  <c r="J3"/>
  <c r="K3"/>
  <c r="L3"/>
  <c r="B110"/>
  <c r="H110" s="1"/>
  <c r="B111"/>
  <c r="B112"/>
  <c r="E112" s="1"/>
  <c r="B113"/>
  <c r="B114"/>
  <c r="B115"/>
  <c r="C115" s="1"/>
  <c r="B116"/>
  <c r="B117"/>
  <c r="B118"/>
  <c r="B119"/>
  <c r="B120"/>
  <c r="B121"/>
  <c r="B122"/>
  <c r="B123"/>
  <c r="C123" s="1"/>
  <c r="B124"/>
  <c r="B125"/>
  <c r="G125" s="1"/>
  <c r="B126"/>
  <c r="B127"/>
  <c r="B128"/>
  <c r="B129"/>
  <c r="B130"/>
  <c r="B134"/>
  <c r="B135"/>
  <c r="B136"/>
  <c r="B137"/>
  <c r="B138"/>
  <c r="C2" i="7"/>
  <c r="M6" i="21"/>
  <c r="D98" i="24"/>
  <c r="E75"/>
  <c r="G75"/>
  <c r="D75"/>
  <c r="F75"/>
  <c r="D131"/>
  <c r="E131"/>
  <c r="F131"/>
  <c r="G131"/>
  <c r="H131"/>
  <c r="I131"/>
  <c r="A70"/>
  <c r="A71"/>
  <c r="E17" i="21"/>
  <c r="N23" i="24"/>
  <c r="A103"/>
  <c r="A106"/>
  <c r="A63"/>
  <c r="H6" i="22"/>
  <c r="E14"/>
  <c r="E15"/>
  <c r="E16"/>
  <c r="E17"/>
  <c r="E13"/>
  <c r="I25" i="21"/>
  <c r="I26"/>
  <c r="I27"/>
  <c r="I28"/>
  <c r="I29"/>
  <c r="I30"/>
  <c r="I31"/>
  <c r="I32"/>
  <c r="I33"/>
  <c r="I34"/>
  <c r="I35"/>
  <c r="I36"/>
  <c r="I37"/>
  <c r="I38"/>
  <c r="I39"/>
  <c r="I40"/>
  <c r="I41"/>
  <c r="I24"/>
  <c r="A104" i="24"/>
  <c r="A105"/>
  <c r="A102"/>
  <c r="A64"/>
  <c r="A65"/>
  <c r="A66"/>
  <c r="A67"/>
  <c r="A68"/>
  <c r="A69"/>
  <c r="A59"/>
  <c r="A55"/>
  <c r="E11" i="21"/>
  <c r="E12"/>
  <c r="E13"/>
  <c r="E14"/>
  <c r="E15"/>
  <c r="E16"/>
  <c r="E18"/>
  <c r="E10"/>
  <c r="N34" i="24" l="1"/>
  <c r="S44"/>
  <c r="O39"/>
  <c r="S46"/>
  <c r="V39"/>
  <c r="O50"/>
  <c r="N43"/>
  <c r="O42"/>
  <c r="V47"/>
  <c r="S47"/>
  <c r="V31"/>
  <c r="W48"/>
  <c r="V50"/>
  <c r="R47"/>
  <c r="N46"/>
  <c r="V42"/>
  <c r="R39"/>
  <c r="N38"/>
  <c r="V32"/>
  <c r="O33"/>
  <c r="R50"/>
  <c r="N47"/>
  <c r="V43"/>
  <c r="R42"/>
  <c r="N39"/>
  <c r="V34"/>
  <c r="R32"/>
  <c r="O47"/>
  <c r="O43"/>
  <c r="S39"/>
  <c r="S33"/>
  <c r="N50"/>
  <c r="V46"/>
  <c r="R43"/>
  <c r="N42"/>
  <c r="V38"/>
  <c r="R34"/>
  <c r="N32"/>
  <c r="S35"/>
  <c r="R35"/>
  <c r="N35"/>
  <c r="V35"/>
  <c r="W39"/>
  <c r="S43"/>
  <c r="W35"/>
  <c r="O35"/>
  <c r="S41"/>
  <c r="W47"/>
  <c r="W33"/>
  <c r="W43"/>
  <c r="Q31"/>
  <c r="S31"/>
  <c r="S98"/>
  <c r="I98"/>
  <c r="Q98"/>
  <c r="M98"/>
  <c r="O98"/>
  <c r="K98"/>
  <c r="O40"/>
  <c r="S40"/>
  <c r="W40"/>
  <c r="S36"/>
  <c r="O36"/>
  <c r="W36"/>
  <c r="O32"/>
  <c r="W32"/>
  <c r="S32"/>
  <c r="L49"/>
  <c r="P49"/>
  <c r="T49"/>
  <c r="N49"/>
  <c r="M49"/>
  <c r="Q49"/>
  <c r="U49"/>
  <c r="R49"/>
  <c r="V49"/>
  <c r="L45"/>
  <c r="P45"/>
  <c r="T45"/>
  <c r="N45"/>
  <c r="V45"/>
  <c r="M45"/>
  <c r="Q45"/>
  <c r="U45"/>
  <c r="R45"/>
  <c r="L37"/>
  <c r="P37"/>
  <c r="T37"/>
  <c r="R37"/>
  <c r="O37"/>
  <c r="S37"/>
  <c r="M37"/>
  <c r="Q37"/>
  <c r="U37"/>
  <c r="N37"/>
  <c r="V37"/>
  <c r="W37"/>
  <c r="S45"/>
  <c r="S50"/>
  <c r="S48"/>
  <c r="W46"/>
  <c r="S42"/>
  <c r="W41"/>
  <c r="S49"/>
  <c r="O48"/>
  <c r="W44"/>
  <c r="O38"/>
  <c r="W38"/>
  <c r="S38"/>
  <c r="O34"/>
  <c r="S34"/>
  <c r="W34"/>
  <c r="L41"/>
  <c r="P41"/>
  <c r="T41"/>
  <c r="N41"/>
  <c r="V41"/>
  <c r="M41"/>
  <c r="Q41"/>
  <c r="U41"/>
  <c r="R41"/>
  <c r="O44"/>
  <c r="W49"/>
  <c r="O46"/>
  <c r="O45"/>
  <c r="W50"/>
  <c r="O49"/>
  <c r="W45"/>
  <c r="W42"/>
  <c r="O41"/>
  <c r="V48"/>
  <c r="N48"/>
  <c r="V44"/>
  <c r="N44"/>
  <c r="V40"/>
  <c r="N40"/>
  <c r="R36"/>
  <c r="V33"/>
  <c r="M31"/>
  <c r="U31"/>
  <c r="U50"/>
  <c r="Q50"/>
  <c r="M50"/>
  <c r="U48"/>
  <c r="Q48"/>
  <c r="M48"/>
  <c r="U47"/>
  <c r="Q47"/>
  <c r="M47"/>
  <c r="U46"/>
  <c r="Q46"/>
  <c r="M46"/>
  <c r="U44"/>
  <c r="Q44"/>
  <c r="M44"/>
  <c r="U43"/>
  <c r="Q43"/>
  <c r="M43"/>
  <c r="U42"/>
  <c r="Q42"/>
  <c r="M42"/>
  <c r="U40"/>
  <c r="Q40"/>
  <c r="M40"/>
  <c r="U39"/>
  <c r="Q39"/>
  <c r="M39"/>
  <c r="U38"/>
  <c r="Q38"/>
  <c r="M38"/>
  <c r="U36"/>
  <c r="Q36"/>
  <c r="M36"/>
  <c r="U35"/>
  <c r="Q35"/>
  <c r="M35"/>
  <c r="U34"/>
  <c r="Q34"/>
  <c r="M34"/>
  <c r="U33"/>
  <c r="Q33"/>
  <c r="M33"/>
  <c r="U32"/>
  <c r="Q32"/>
  <c r="M32"/>
  <c r="R48"/>
  <c r="R44"/>
  <c r="R40"/>
  <c r="V36"/>
  <c r="N36"/>
  <c r="R33"/>
  <c r="N33"/>
  <c r="O31"/>
  <c r="W31"/>
  <c r="T50"/>
  <c r="P50"/>
  <c r="T48"/>
  <c r="P48"/>
  <c r="T47"/>
  <c r="P47"/>
  <c r="T46"/>
  <c r="P46"/>
  <c r="T44"/>
  <c r="P44"/>
  <c r="T43"/>
  <c r="P43"/>
  <c r="T42"/>
  <c r="P42"/>
  <c r="T40"/>
  <c r="P40"/>
  <c r="T39"/>
  <c r="P39"/>
  <c r="T38"/>
  <c r="P38"/>
  <c r="T36"/>
  <c r="P36"/>
  <c r="T35"/>
  <c r="P35"/>
  <c r="T34"/>
  <c r="P34"/>
  <c r="T33"/>
  <c r="P33"/>
  <c r="T32"/>
  <c r="P32"/>
  <c r="S51"/>
  <c r="M51"/>
  <c r="U51"/>
  <c r="O51"/>
  <c r="W51"/>
  <c r="O5"/>
  <c r="O8"/>
  <c r="T31"/>
  <c r="L31"/>
  <c r="P31"/>
  <c r="R31"/>
  <c r="N31"/>
  <c r="S13"/>
  <c r="W18"/>
  <c r="K63"/>
  <c r="S5"/>
  <c r="N22"/>
  <c r="O18"/>
  <c r="W10"/>
  <c r="D26"/>
  <c r="S21"/>
  <c r="S17"/>
  <c r="S9"/>
  <c r="F26"/>
  <c r="T3"/>
  <c r="O22"/>
  <c r="W14"/>
  <c r="W6"/>
  <c r="L26"/>
  <c r="D121"/>
  <c r="H121"/>
  <c r="E121"/>
  <c r="F121"/>
  <c r="C121"/>
  <c r="G121"/>
  <c r="G106"/>
  <c r="K106"/>
  <c r="O106"/>
  <c r="D106"/>
  <c r="H106"/>
  <c r="L106"/>
  <c r="E106"/>
  <c r="I106"/>
  <c r="M106"/>
  <c r="N106"/>
  <c r="F106"/>
  <c r="I91"/>
  <c r="M91"/>
  <c r="Q91"/>
  <c r="J91"/>
  <c r="N91"/>
  <c r="R91"/>
  <c r="K91"/>
  <c r="O91"/>
  <c r="S91"/>
  <c r="P91"/>
  <c r="H91"/>
  <c r="L91"/>
  <c r="I83"/>
  <c r="M83"/>
  <c r="Q83"/>
  <c r="J83"/>
  <c r="N83"/>
  <c r="R83"/>
  <c r="K83"/>
  <c r="O83"/>
  <c r="S83"/>
  <c r="P83"/>
  <c r="H83"/>
  <c r="L83"/>
  <c r="I79"/>
  <c r="M79"/>
  <c r="Q79"/>
  <c r="J79"/>
  <c r="N79"/>
  <c r="R79"/>
  <c r="K79"/>
  <c r="O79"/>
  <c r="S79"/>
  <c r="P79"/>
  <c r="H79"/>
  <c r="G68"/>
  <c r="K68"/>
  <c r="O68"/>
  <c r="D68"/>
  <c r="H68"/>
  <c r="L68"/>
  <c r="I68"/>
  <c r="J68"/>
  <c r="E68"/>
  <c r="M68"/>
  <c r="P20"/>
  <c r="T20"/>
  <c r="X20"/>
  <c r="M20"/>
  <c r="Q20"/>
  <c r="U20"/>
  <c r="P12"/>
  <c r="T12"/>
  <c r="X12"/>
  <c r="M12"/>
  <c r="Q12"/>
  <c r="U12"/>
  <c r="N12"/>
  <c r="R12"/>
  <c r="V12"/>
  <c r="P4"/>
  <c r="T4"/>
  <c r="X4"/>
  <c r="M4"/>
  <c r="Q4"/>
  <c r="U4"/>
  <c r="N4"/>
  <c r="R4"/>
  <c r="V4"/>
  <c r="W22"/>
  <c r="W20"/>
  <c r="O20"/>
  <c r="O12"/>
  <c r="O4"/>
  <c r="P19"/>
  <c r="T19"/>
  <c r="X19"/>
  <c r="M19"/>
  <c r="Q19"/>
  <c r="U19"/>
  <c r="P15"/>
  <c r="T15"/>
  <c r="X15"/>
  <c r="M15"/>
  <c r="Q15"/>
  <c r="U15"/>
  <c r="N15"/>
  <c r="R15"/>
  <c r="V15"/>
  <c r="P11"/>
  <c r="T11"/>
  <c r="X11"/>
  <c r="M11"/>
  <c r="Q11"/>
  <c r="U11"/>
  <c r="N11"/>
  <c r="R11"/>
  <c r="V11"/>
  <c r="P7"/>
  <c r="T7"/>
  <c r="X7"/>
  <c r="M7"/>
  <c r="Q7"/>
  <c r="U7"/>
  <c r="N7"/>
  <c r="R7"/>
  <c r="V7"/>
  <c r="V22"/>
  <c r="R21"/>
  <c r="V20"/>
  <c r="N20"/>
  <c r="R19"/>
  <c r="V18"/>
  <c r="O17"/>
  <c r="W15"/>
  <c r="W11"/>
  <c r="W7"/>
  <c r="N68"/>
  <c r="L79"/>
  <c r="D129"/>
  <c r="H129"/>
  <c r="E129"/>
  <c r="F129"/>
  <c r="C129"/>
  <c r="G129"/>
  <c r="D117"/>
  <c r="H117"/>
  <c r="E117"/>
  <c r="F117"/>
  <c r="C117"/>
  <c r="I102"/>
  <c r="L102"/>
  <c r="D102"/>
  <c r="O102"/>
  <c r="G102"/>
  <c r="J102"/>
  <c r="M102"/>
  <c r="E102"/>
  <c r="H102"/>
  <c r="K102"/>
  <c r="N102"/>
  <c r="F102"/>
  <c r="I87"/>
  <c r="M87"/>
  <c r="Q87"/>
  <c r="J87"/>
  <c r="N87"/>
  <c r="R87"/>
  <c r="K87"/>
  <c r="O87"/>
  <c r="S87"/>
  <c r="P87"/>
  <c r="H87"/>
  <c r="L87"/>
  <c r="Q75"/>
  <c r="I75"/>
  <c r="L75"/>
  <c r="O75"/>
  <c r="R75"/>
  <c r="J75"/>
  <c r="M75"/>
  <c r="P75"/>
  <c r="H75"/>
  <c r="N75"/>
  <c r="S75"/>
  <c r="G64"/>
  <c r="K64"/>
  <c r="O64"/>
  <c r="D64"/>
  <c r="H64"/>
  <c r="L64"/>
  <c r="E64"/>
  <c r="I64"/>
  <c r="M64"/>
  <c r="F64"/>
  <c r="J64"/>
  <c r="P16"/>
  <c r="T16"/>
  <c r="X16"/>
  <c r="M16"/>
  <c r="Q16"/>
  <c r="U16"/>
  <c r="N16"/>
  <c r="R16"/>
  <c r="V16"/>
  <c r="P8"/>
  <c r="T8"/>
  <c r="X8"/>
  <c r="M8"/>
  <c r="Q8"/>
  <c r="U8"/>
  <c r="N8"/>
  <c r="R8"/>
  <c r="V8"/>
  <c r="D135"/>
  <c r="H135"/>
  <c r="E135"/>
  <c r="F135"/>
  <c r="C135"/>
  <c r="G135"/>
  <c r="F128"/>
  <c r="C128"/>
  <c r="G128"/>
  <c r="D128"/>
  <c r="H128"/>
  <c r="F124"/>
  <c r="C124"/>
  <c r="G124"/>
  <c r="D124"/>
  <c r="H124"/>
  <c r="E124"/>
  <c r="F120"/>
  <c r="C120"/>
  <c r="G120"/>
  <c r="D120"/>
  <c r="H120"/>
  <c r="F116"/>
  <c r="C116"/>
  <c r="G116"/>
  <c r="D116"/>
  <c r="H116"/>
  <c r="E116"/>
  <c r="F112"/>
  <c r="C112"/>
  <c r="G112"/>
  <c r="D112"/>
  <c r="H112"/>
  <c r="G105"/>
  <c r="K105"/>
  <c r="O105"/>
  <c r="D105"/>
  <c r="H105"/>
  <c r="L105"/>
  <c r="E105"/>
  <c r="I105"/>
  <c r="M105"/>
  <c r="J105"/>
  <c r="N105"/>
  <c r="F105"/>
  <c r="I90"/>
  <c r="M90"/>
  <c r="Q90"/>
  <c r="J90"/>
  <c r="N90"/>
  <c r="R90"/>
  <c r="K90"/>
  <c r="O90"/>
  <c r="S90"/>
  <c r="L90"/>
  <c r="P90"/>
  <c r="I86"/>
  <c r="M86"/>
  <c r="Q86"/>
  <c r="J86"/>
  <c r="N86"/>
  <c r="R86"/>
  <c r="K86"/>
  <c r="O86"/>
  <c r="S86"/>
  <c r="L86"/>
  <c r="P86"/>
  <c r="H86"/>
  <c r="I82"/>
  <c r="M82"/>
  <c r="Q82"/>
  <c r="J82"/>
  <c r="N82"/>
  <c r="R82"/>
  <c r="K82"/>
  <c r="O82"/>
  <c r="S82"/>
  <c r="L82"/>
  <c r="P82"/>
  <c r="H82"/>
  <c r="I78"/>
  <c r="M78"/>
  <c r="Q78"/>
  <c r="J78"/>
  <c r="N78"/>
  <c r="R78"/>
  <c r="K78"/>
  <c r="O78"/>
  <c r="S78"/>
  <c r="L78"/>
  <c r="P78"/>
  <c r="H78"/>
  <c r="G71"/>
  <c r="K71"/>
  <c r="O71"/>
  <c r="D71"/>
  <c r="H71"/>
  <c r="L71"/>
  <c r="E71"/>
  <c r="M71"/>
  <c r="F71"/>
  <c r="N71"/>
  <c r="I71"/>
  <c r="G67"/>
  <c r="K67"/>
  <c r="O67"/>
  <c r="D67"/>
  <c r="H67"/>
  <c r="L67"/>
  <c r="E67"/>
  <c r="I67"/>
  <c r="M67"/>
  <c r="N67"/>
  <c r="F67"/>
  <c r="I63"/>
  <c r="L63"/>
  <c r="D63"/>
  <c r="O63"/>
  <c r="G63"/>
  <c r="J63"/>
  <c r="E63"/>
  <c r="N63"/>
  <c r="M63"/>
  <c r="H63"/>
  <c r="I94"/>
  <c r="M94"/>
  <c r="Q94"/>
  <c r="J94"/>
  <c r="N94"/>
  <c r="R94"/>
  <c r="K94"/>
  <c r="O94"/>
  <c r="S94"/>
  <c r="L94"/>
  <c r="P94"/>
  <c r="H94"/>
  <c r="F138"/>
  <c r="C138"/>
  <c r="G138"/>
  <c r="D138"/>
  <c r="H138"/>
  <c r="E138"/>
  <c r="G134"/>
  <c r="C134"/>
  <c r="F134"/>
  <c r="E134"/>
  <c r="D134"/>
  <c r="H134"/>
  <c r="D127"/>
  <c r="H127"/>
  <c r="E127"/>
  <c r="F127"/>
  <c r="C127"/>
  <c r="G127"/>
  <c r="D123"/>
  <c r="H123"/>
  <c r="E123"/>
  <c r="F123"/>
  <c r="G123"/>
  <c r="D119"/>
  <c r="H119"/>
  <c r="E119"/>
  <c r="F119"/>
  <c r="C119"/>
  <c r="G119"/>
  <c r="D115"/>
  <c r="H115"/>
  <c r="E115"/>
  <c r="F115"/>
  <c r="G115"/>
  <c r="F111"/>
  <c r="D111"/>
  <c r="H111"/>
  <c r="C111"/>
  <c r="E111"/>
  <c r="G111"/>
  <c r="G104"/>
  <c r="K104"/>
  <c r="O104"/>
  <c r="D104"/>
  <c r="H104"/>
  <c r="L104"/>
  <c r="E104"/>
  <c r="I104"/>
  <c r="M104"/>
  <c r="F104"/>
  <c r="J104"/>
  <c r="N104"/>
  <c r="I93"/>
  <c r="M93"/>
  <c r="Q93"/>
  <c r="J93"/>
  <c r="N93"/>
  <c r="R93"/>
  <c r="K93"/>
  <c r="O93"/>
  <c r="S93"/>
  <c r="H93"/>
  <c r="L93"/>
  <c r="P93"/>
  <c r="I89"/>
  <c r="M89"/>
  <c r="Q89"/>
  <c r="J89"/>
  <c r="N89"/>
  <c r="R89"/>
  <c r="K89"/>
  <c r="O89"/>
  <c r="S89"/>
  <c r="H89"/>
  <c r="L89"/>
  <c r="P89"/>
  <c r="I85"/>
  <c r="M85"/>
  <c r="Q85"/>
  <c r="J85"/>
  <c r="N85"/>
  <c r="R85"/>
  <c r="K85"/>
  <c r="O85"/>
  <c r="S85"/>
  <c r="H85"/>
  <c r="L85"/>
  <c r="P85"/>
  <c r="I81"/>
  <c r="M81"/>
  <c r="Q81"/>
  <c r="J81"/>
  <c r="N81"/>
  <c r="R81"/>
  <c r="K81"/>
  <c r="O81"/>
  <c r="S81"/>
  <c r="H81"/>
  <c r="L81"/>
  <c r="P81"/>
  <c r="I77"/>
  <c r="M77"/>
  <c r="Q77"/>
  <c r="J77"/>
  <c r="N77"/>
  <c r="R77"/>
  <c r="K77"/>
  <c r="O77"/>
  <c r="S77"/>
  <c r="H77"/>
  <c r="L77"/>
  <c r="P77"/>
  <c r="G70"/>
  <c r="K70"/>
  <c r="O70"/>
  <c r="D70"/>
  <c r="H70"/>
  <c r="L70"/>
  <c r="I70"/>
  <c r="J70"/>
  <c r="E70"/>
  <c r="M70"/>
  <c r="G66"/>
  <c r="K66"/>
  <c r="O66"/>
  <c r="D66"/>
  <c r="H66"/>
  <c r="L66"/>
  <c r="E66"/>
  <c r="I66"/>
  <c r="M66"/>
  <c r="J66"/>
  <c r="N66"/>
  <c r="M59"/>
  <c r="E59"/>
  <c r="L59"/>
  <c r="K59"/>
  <c r="J59"/>
  <c r="O59"/>
  <c r="I59"/>
  <c r="P22"/>
  <c r="T22"/>
  <c r="M22"/>
  <c r="Q22"/>
  <c r="U22"/>
  <c r="P18"/>
  <c r="T18"/>
  <c r="X18"/>
  <c r="M18"/>
  <c r="Q18"/>
  <c r="U18"/>
  <c r="P14"/>
  <c r="T14"/>
  <c r="X14"/>
  <c r="M14"/>
  <c r="Q14"/>
  <c r="U14"/>
  <c r="N14"/>
  <c r="R14"/>
  <c r="V14"/>
  <c r="P10"/>
  <c r="T10"/>
  <c r="X10"/>
  <c r="M10"/>
  <c r="Q10"/>
  <c r="U10"/>
  <c r="N10"/>
  <c r="R10"/>
  <c r="V10"/>
  <c r="P6"/>
  <c r="T6"/>
  <c r="X6"/>
  <c r="M6"/>
  <c r="Q6"/>
  <c r="U6"/>
  <c r="N6"/>
  <c r="R6"/>
  <c r="V6"/>
  <c r="S22"/>
  <c r="W21"/>
  <c r="S20"/>
  <c r="W19"/>
  <c r="O19"/>
  <c r="S18"/>
  <c r="W16"/>
  <c r="S15"/>
  <c r="O14"/>
  <c r="W12"/>
  <c r="S11"/>
  <c r="O10"/>
  <c r="W8"/>
  <c r="S7"/>
  <c r="O6"/>
  <c r="W4"/>
  <c r="G59"/>
  <c r="N70"/>
  <c r="F68"/>
  <c r="E120"/>
  <c r="K75"/>
  <c r="J106"/>
  <c r="F136"/>
  <c r="C136"/>
  <c r="G136"/>
  <c r="D136"/>
  <c r="H136"/>
  <c r="E136"/>
  <c r="D125"/>
  <c r="H125"/>
  <c r="E125"/>
  <c r="F125"/>
  <c r="C125"/>
  <c r="D113"/>
  <c r="H113"/>
  <c r="E113"/>
  <c r="F113"/>
  <c r="C113"/>
  <c r="G113"/>
  <c r="D137"/>
  <c r="H137"/>
  <c r="E137"/>
  <c r="F137"/>
  <c r="C137"/>
  <c r="G137"/>
  <c r="F130"/>
  <c r="C130"/>
  <c r="G130"/>
  <c r="D130"/>
  <c r="H130"/>
  <c r="E130"/>
  <c r="F126"/>
  <c r="C126"/>
  <c r="G126"/>
  <c r="D126"/>
  <c r="H126"/>
  <c r="E126"/>
  <c r="F122"/>
  <c r="C122"/>
  <c r="G122"/>
  <c r="D122"/>
  <c r="H122"/>
  <c r="E122"/>
  <c r="F118"/>
  <c r="C118"/>
  <c r="G118"/>
  <c r="D118"/>
  <c r="H118"/>
  <c r="E118"/>
  <c r="F114"/>
  <c r="C114"/>
  <c r="G114"/>
  <c r="D114"/>
  <c r="H114"/>
  <c r="E114"/>
  <c r="G110"/>
  <c r="C110"/>
  <c r="F110"/>
  <c r="E110"/>
  <c r="D110"/>
  <c r="P59"/>
  <c r="G103"/>
  <c r="K103"/>
  <c r="O103"/>
  <c r="D103"/>
  <c r="H103"/>
  <c r="L103"/>
  <c r="E103"/>
  <c r="I103"/>
  <c r="M103"/>
  <c r="F103"/>
  <c r="J103"/>
  <c r="N103"/>
  <c r="I92"/>
  <c r="M92"/>
  <c r="Q92"/>
  <c r="J92"/>
  <c r="N92"/>
  <c r="R92"/>
  <c r="K92"/>
  <c r="O92"/>
  <c r="S92"/>
  <c r="H92"/>
  <c r="L92"/>
  <c r="P92"/>
  <c r="I88"/>
  <c r="M88"/>
  <c r="Q88"/>
  <c r="J88"/>
  <c r="N88"/>
  <c r="R88"/>
  <c r="K88"/>
  <c r="O88"/>
  <c r="S88"/>
  <c r="H88"/>
  <c r="L88"/>
  <c r="P88"/>
  <c r="I84"/>
  <c r="M84"/>
  <c r="Q84"/>
  <c r="J84"/>
  <c r="N84"/>
  <c r="R84"/>
  <c r="K84"/>
  <c r="O84"/>
  <c r="S84"/>
  <c r="H84"/>
  <c r="L84"/>
  <c r="I80"/>
  <c r="M80"/>
  <c r="Q80"/>
  <c r="J80"/>
  <c r="N80"/>
  <c r="R80"/>
  <c r="K80"/>
  <c r="O80"/>
  <c r="S80"/>
  <c r="H80"/>
  <c r="L80"/>
  <c r="P80"/>
  <c r="I76"/>
  <c r="M76"/>
  <c r="Q76"/>
  <c r="J76"/>
  <c r="N76"/>
  <c r="R76"/>
  <c r="K76"/>
  <c r="O76"/>
  <c r="S76"/>
  <c r="H76"/>
  <c r="L76"/>
  <c r="P76"/>
  <c r="G69"/>
  <c r="K69"/>
  <c r="O69"/>
  <c r="D69"/>
  <c r="H69"/>
  <c r="L69"/>
  <c r="E69"/>
  <c r="M69"/>
  <c r="F69"/>
  <c r="N69"/>
  <c r="I69"/>
  <c r="G65"/>
  <c r="K65"/>
  <c r="O65"/>
  <c r="D65"/>
  <c r="H65"/>
  <c r="L65"/>
  <c r="E65"/>
  <c r="I65"/>
  <c r="M65"/>
  <c r="F65"/>
  <c r="J65"/>
  <c r="N65"/>
  <c r="S55"/>
  <c r="P21"/>
  <c r="T21"/>
  <c r="X21"/>
  <c r="M21"/>
  <c r="Q21"/>
  <c r="U21"/>
  <c r="P17"/>
  <c r="T17"/>
  <c r="X17"/>
  <c r="M17"/>
  <c r="Q17"/>
  <c r="U17"/>
  <c r="N17"/>
  <c r="R17"/>
  <c r="P13"/>
  <c r="T13"/>
  <c r="X13"/>
  <c r="M13"/>
  <c r="Q13"/>
  <c r="U13"/>
  <c r="N13"/>
  <c r="R13"/>
  <c r="V13"/>
  <c r="P9"/>
  <c r="T9"/>
  <c r="X9"/>
  <c r="M9"/>
  <c r="Q9"/>
  <c r="U9"/>
  <c r="N9"/>
  <c r="R9"/>
  <c r="V9"/>
  <c r="P5"/>
  <c r="T5"/>
  <c r="X5"/>
  <c r="M5"/>
  <c r="Q5"/>
  <c r="U5"/>
  <c r="N5"/>
  <c r="R5"/>
  <c r="V5"/>
  <c r="X22"/>
  <c r="R22"/>
  <c r="V21"/>
  <c r="N21"/>
  <c r="R20"/>
  <c r="V19"/>
  <c r="N19"/>
  <c r="R18"/>
  <c r="V17"/>
  <c r="S16"/>
  <c r="O15"/>
  <c r="W13"/>
  <c r="S12"/>
  <c r="O11"/>
  <c r="W9"/>
  <c r="S8"/>
  <c r="O7"/>
  <c r="W5"/>
  <c r="S4"/>
  <c r="F63"/>
  <c r="F70"/>
  <c r="J67"/>
  <c r="E128"/>
  <c r="G117"/>
  <c r="H90"/>
  <c r="M26"/>
  <c r="L27"/>
  <c r="I27"/>
  <c r="D27"/>
  <c r="K27"/>
  <c r="G27"/>
  <c r="C146" s="1"/>
  <c r="C27"/>
  <c r="H27"/>
  <c r="K26"/>
  <c r="H26"/>
  <c r="N26"/>
  <c r="I26"/>
  <c r="E27"/>
  <c r="M27"/>
  <c r="C26"/>
  <c r="E26"/>
  <c r="J26"/>
  <c r="H147" s="1"/>
  <c r="F27"/>
  <c r="N27"/>
  <c r="U3"/>
  <c r="V3"/>
  <c r="P3"/>
  <c r="S3"/>
  <c r="X3"/>
  <c r="W3"/>
  <c r="O3"/>
  <c r="R3"/>
  <c r="M3"/>
  <c r="N3"/>
  <c r="Q3"/>
  <c r="H98"/>
  <c r="N59"/>
  <c r="F59"/>
  <c r="H59"/>
  <c r="L55"/>
  <c r="T55"/>
  <c r="O55"/>
  <c r="Q55"/>
  <c r="I55"/>
  <c r="P55"/>
  <c r="K55"/>
  <c r="J55"/>
  <c r="R55"/>
  <c r="M55"/>
  <c r="N55"/>
  <c r="R98"/>
  <c r="C148" l="1"/>
  <c r="E10" i="30" s="1"/>
  <c r="I144" i="24"/>
  <c r="H6" i="30" s="1"/>
  <c r="H144" i="24"/>
  <c r="F6" i="30" s="1"/>
  <c r="C9" i="7"/>
  <c r="D8"/>
  <c r="H148" i="24"/>
  <c r="F10" i="30" s="1"/>
  <c r="D145" i="24"/>
  <c r="G7" i="30" s="1"/>
  <c r="D144" i="24"/>
  <c r="G6" i="30" s="1"/>
  <c r="I146" i="24"/>
  <c r="H8" i="30" s="1"/>
  <c r="D9" i="7"/>
  <c r="C8"/>
  <c r="D147" i="24"/>
  <c r="G9" i="30" s="1"/>
  <c r="I145" i="24"/>
  <c r="H7" i="30" s="1"/>
  <c r="D148" i="24"/>
  <c r="G10" i="30" s="1"/>
  <c r="C144" i="24"/>
  <c r="E6" i="30" s="1"/>
  <c r="F9"/>
  <c r="H146" i="24"/>
  <c r="F8" i="30" s="1"/>
  <c r="H145" i="24"/>
  <c r="F7" i="30" s="1"/>
  <c r="I147" i="24"/>
  <c r="H9" i="30" s="1"/>
  <c r="E8"/>
  <c r="C145" i="24"/>
  <c r="E7" i="30" s="1"/>
  <c r="C147" i="24"/>
  <c r="E9" i="30" s="1"/>
  <c r="D146" i="24"/>
  <c r="G8" i="30" s="1"/>
  <c r="I148" i="24"/>
  <c r="H10" i="30" s="1"/>
  <c r="G147" i="24"/>
  <c r="D9" i="30" s="1"/>
  <c r="N98" i="24"/>
  <c r="E147" s="1"/>
  <c r="I9" i="30" s="1"/>
  <c r="J98" i="24"/>
  <c r="E145" s="1"/>
  <c r="I7" i="30" s="1"/>
  <c r="L98" i="24"/>
  <c r="E146" s="1"/>
  <c r="I8" i="30" s="1"/>
  <c r="P98" i="24"/>
  <c r="E148" s="1"/>
  <c r="I10" i="30" s="1"/>
  <c r="F145" i="24"/>
  <c r="K7" i="30" s="1"/>
  <c r="F146" i="24"/>
  <c r="K8" i="30" s="1"/>
  <c r="F147" i="24"/>
  <c r="K9" i="30" s="1"/>
  <c r="F144" i="24"/>
  <c r="K6" i="30" s="1"/>
  <c r="C11" i="7"/>
  <c r="J147" i="24"/>
  <c r="J9" i="30" s="1"/>
  <c r="F148" i="24"/>
  <c r="K10" i="30" s="1"/>
  <c r="E144" i="24"/>
  <c r="I6" i="30" s="1"/>
  <c r="C10" i="7"/>
  <c r="J146" i="24"/>
  <c r="J8" i="30" s="1"/>
  <c r="J148" i="24"/>
  <c r="J10" i="30" s="1"/>
  <c r="J145" i="24"/>
  <c r="J7" i="30" s="1"/>
  <c r="J144" i="24"/>
  <c r="J6" i="30" s="1"/>
  <c r="G146" i="24"/>
  <c r="D8" i="30" s="1"/>
  <c r="B144" i="24"/>
  <c r="G145"/>
  <c r="D7" i="30" s="1"/>
  <c r="D7" i="7"/>
  <c r="B147" i="24"/>
  <c r="G144"/>
  <c r="D6" i="30" s="1"/>
  <c r="B145" i="24"/>
  <c r="C7" i="30" s="1"/>
  <c r="B146" i="24"/>
  <c r="C8" i="30" s="1"/>
  <c r="B148" i="24"/>
  <c r="D10" i="7"/>
  <c r="C7"/>
  <c r="G148" i="24"/>
  <c r="D10" i="30" s="1"/>
  <c r="C6" l="1"/>
  <c r="M6" s="1"/>
  <c r="A144" i="24"/>
  <c r="N9" i="30"/>
  <c r="A147" i="24"/>
  <c r="N10" i="30"/>
  <c r="N8"/>
  <c r="C12" i="7"/>
  <c r="M8" i="30"/>
  <c r="N7"/>
  <c r="N6"/>
  <c r="A145" i="24"/>
  <c r="M7" i="30"/>
  <c r="C9"/>
  <c r="M9" s="1"/>
  <c r="D12" i="7"/>
  <c r="A146" i="24"/>
  <c r="C10" i="30"/>
  <c r="M10" s="1"/>
  <c r="A148" i="24"/>
  <c r="O9" i="30" l="1"/>
  <c r="O10"/>
  <c r="O7"/>
  <c r="O8"/>
  <c r="C3" i="7"/>
  <c r="O6" i="30"/>
</calcChain>
</file>

<file path=xl/sharedStrings.xml><?xml version="1.0" encoding="utf-8"?>
<sst xmlns="http://schemas.openxmlformats.org/spreadsheetml/2006/main" count="1561" uniqueCount="599">
  <si>
    <t>Dati generali-anagrafici</t>
  </si>
  <si>
    <t>L'indirizzo delle singole sedi va inserito solamente in questo foglio. La referenza con gli altri fogli è garantita attraverso l'utilizzo del codice univoco.
Nella tabella di sinistra in corrispondenza del campo "Referente contrattuale dell'Amministrazione"; inserire le informazioni relative al referente responsabile dei rapporti contrattuali con CTRP/Fornitore.
Nella tabella di destra, in corrispondenza dei campi "Referente"; inserire le informazioni relative al referente responsable della singola sede (qualora esistente).</t>
  </si>
  <si>
    <t>INFORMAZIONI GENERALI - ANAGRAFICHE per AMMINISTRAZIONE</t>
  </si>
  <si>
    <t>Amministrazione</t>
  </si>
  <si>
    <t>Referente Contrattuale dell'Amministrazione</t>
  </si>
  <si>
    <t>Nome</t>
  </si>
  <si>
    <t>E-Mail</t>
  </si>
  <si>
    <t>Telefono</t>
  </si>
  <si>
    <t>Mobile</t>
  </si>
  <si>
    <t>FAX</t>
  </si>
  <si>
    <t>NOTE</t>
  </si>
  <si>
    <t>INFORMAZIONI GENERALI - ANAGRAFICHE di DETTAGLIO per SINGOLA SEDE</t>
  </si>
  <si>
    <t>Sede</t>
  </si>
  <si>
    <t>Referente</t>
  </si>
  <si>
    <t>Note</t>
  </si>
  <si>
    <t>Codice</t>
  </si>
  <si>
    <t>Indirizzo</t>
  </si>
  <si>
    <t>Comune</t>
  </si>
  <si>
    <t>Provincia</t>
  </si>
  <si>
    <t>C.A.P.</t>
  </si>
  <si>
    <t>E-mail</t>
  </si>
  <si>
    <t>Durata del Contratto Esecutivo (mesi)</t>
  </si>
  <si>
    <t>Finestra di erogazione estesa</t>
  </si>
  <si>
    <t>SEDE</t>
  </si>
  <si>
    <t>COSTO TOTALE DEL CONTRATTO</t>
  </si>
  <si>
    <t>Una Tantum
(Iva esclusa)</t>
  </si>
  <si>
    <t>TOTALE</t>
  </si>
  <si>
    <t>10 Mbps</t>
  </si>
  <si>
    <t>Segreteria telefonica</t>
  </si>
  <si>
    <t>STDE-A1</t>
  </si>
  <si>
    <t>64 Kbps</t>
  </si>
  <si>
    <t>STDE-A2</t>
  </si>
  <si>
    <t>STDE-A3</t>
  </si>
  <si>
    <t>128 Kbps</t>
  </si>
  <si>
    <t>STDE-A4</t>
  </si>
  <si>
    <t>STDE-A5</t>
  </si>
  <si>
    <t>256 Kbps</t>
  </si>
  <si>
    <t>STDE-A6</t>
  </si>
  <si>
    <t>STDE-A7</t>
  </si>
  <si>
    <t>512 Kbps</t>
  </si>
  <si>
    <t>STDE-A8</t>
  </si>
  <si>
    <t>STDE-A9</t>
  </si>
  <si>
    <t>STDE-A10</t>
  </si>
  <si>
    <t>1024 Kbps</t>
  </si>
  <si>
    <t>STDE-S1</t>
  </si>
  <si>
    <t>STDE-S2</t>
  </si>
  <si>
    <t>384 Kbps</t>
  </si>
  <si>
    <t>STDE-S3</t>
  </si>
  <si>
    <t>STDE-S4</t>
  </si>
  <si>
    <t>STDE-S5</t>
  </si>
  <si>
    <t>2048 Kbps</t>
  </si>
  <si>
    <t>STDE-S6</t>
  </si>
  <si>
    <t>4096 Kbps</t>
  </si>
  <si>
    <t>STDO-1</t>
  </si>
  <si>
    <t>STDO-2</t>
  </si>
  <si>
    <t>20 Mbps</t>
  </si>
  <si>
    <t>STDO-3</t>
  </si>
  <si>
    <t>40 Mbps</t>
  </si>
  <si>
    <t>STDO-4</t>
  </si>
  <si>
    <t>STDO-5</t>
  </si>
  <si>
    <t>STDO-6</t>
  </si>
  <si>
    <t>STDO-7</t>
  </si>
  <si>
    <t>STDO-8</t>
  </si>
  <si>
    <t>STDO-9</t>
  </si>
  <si>
    <t>STDO-10</t>
  </si>
  <si>
    <t>STDO-11</t>
  </si>
  <si>
    <t>STDS-1</t>
  </si>
  <si>
    <t>STDS-2</t>
  </si>
  <si>
    <t>STDS-3</t>
  </si>
  <si>
    <t>STDH-1</t>
  </si>
  <si>
    <t>STDH-2</t>
  </si>
  <si>
    <t>STDH-3</t>
  </si>
  <si>
    <t>STDH-4</t>
  </si>
  <si>
    <t>STDH-5</t>
  </si>
  <si>
    <t>STDH-6</t>
  </si>
  <si>
    <t>STDH-7</t>
  </si>
  <si>
    <t>Multiambito</t>
  </si>
  <si>
    <t>Affidabilità Elevata</t>
  </si>
  <si>
    <t>Servizio di Backup</t>
  </si>
  <si>
    <t>ISDN</t>
  </si>
  <si>
    <t>Radiomobile</t>
  </si>
  <si>
    <t>STBS-1</t>
  </si>
  <si>
    <t>STBS-2</t>
  </si>
  <si>
    <t>Si</t>
  </si>
  <si>
    <t>No</t>
  </si>
  <si>
    <t>CdS SBRI 
[numero blocchi da 64 K]</t>
  </si>
  <si>
    <t>Real Time</t>
  </si>
  <si>
    <t>Mission Critical</t>
  </si>
  <si>
    <t>Streaming</t>
  </si>
  <si>
    <t>Multimedia</t>
  </si>
  <si>
    <t>Multicast</t>
  </si>
  <si>
    <t>Blocchi BGA</t>
  </si>
  <si>
    <t>Totale</t>
  </si>
  <si>
    <t>Cod.</t>
  </si>
  <si>
    <t>OPZIONI</t>
  </si>
  <si>
    <t>PROFILO</t>
  </si>
  <si>
    <t>CONTROLLO ERRORI</t>
  </si>
  <si>
    <t>SPUN-1</t>
  </si>
  <si>
    <t>SPUN-2</t>
  </si>
  <si>
    <t>SPUN-3</t>
  </si>
  <si>
    <t>SPUN-4</t>
  </si>
  <si>
    <t>SPUN-5</t>
  </si>
  <si>
    <t>SPUN-6</t>
  </si>
  <si>
    <t>Application Filtering &amp; Monitoring</t>
  </si>
  <si>
    <t>Accesso remoto sicuro (VPN Client-to-site IPsec/SSL)</t>
  </si>
  <si>
    <t>Antivirus / Antispyware &amp; Content Filtering</t>
  </si>
  <si>
    <t>CEIP-1</t>
  </si>
  <si>
    <t>CEIP-2</t>
  </si>
  <si>
    <t>CEIP-3</t>
  </si>
  <si>
    <t>CEIP-4</t>
  </si>
  <si>
    <t>Breakout</t>
  </si>
  <si>
    <t>N°</t>
  </si>
  <si>
    <t>GWIP-1</t>
  </si>
  <si>
    <t>GWIP-2</t>
  </si>
  <si>
    <t>GWIP-3</t>
  </si>
  <si>
    <t>GWIP-4</t>
  </si>
  <si>
    <t>GWTD-1</t>
  </si>
  <si>
    <t>GWTD-2</t>
  </si>
  <si>
    <t>GWTD-3</t>
  </si>
  <si>
    <t>GWTD-4</t>
  </si>
  <si>
    <t>RESI-1</t>
  </si>
  <si>
    <t>RESI-2</t>
  </si>
  <si>
    <t>RESI-3</t>
  </si>
  <si>
    <t>RESI-4</t>
  </si>
  <si>
    <t>ENIP-1</t>
  </si>
  <si>
    <t>ENIP-2</t>
  </si>
  <si>
    <t>ENIP-3</t>
  </si>
  <si>
    <t>ENIP-4</t>
  </si>
  <si>
    <t>ENIP-5</t>
  </si>
  <si>
    <t>ENIP-6</t>
  </si>
  <si>
    <t>ENIP-7</t>
  </si>
  <si>
    <t>ENIP-8</t>
  </si>
  <si>
    <t>CEIP</t>
  </si>
  <si>
    <t>GATEWAY</t>
  </si>
  <si>
    <t>RESI</t>
  </si>
  <si>
    <t>ENIP</t>
  </si>
  <si>
    <t>OPZIONE</t>
  </si>
  <si>
    <t>OPZIONE
Finestra di erogazione estesa</t>
  </si>
  <si>
    <t>DC FSR</t>
  </si>
  <si>
    <t>SERVIZI DI GESTIONE DELL’INFRASTRUTTURA DI TELEPRESENZA (ITEP)</t>
  </si>
  <si>
    <t>SERVIZI DI GESTIONE DEGLI ENDPOINT DI TELEPRESENZA (ETEP)</t>
  </si>
  <si>
    <t>ITEP-1HD</t>
  </si>
  <si>
    <t>ITEP-1SD</t>
  </si>
  <si>
    <t>ETEP-1</t>
  </si>
  <si>
    <t>ETEP-2</t>
  </si>
  <si>
    <t>ETEP-3</t>
  </si>
  <si>
    <t>ETEP-4</t>
  </si>
  <si>
    <t>ETEP-5</t>
  </si>
  <si>
    <t>ITEP-2 (Managed)</t>
  </si>
  <si>
    <t>Registrazione delle sessioni</t>
  </si>
  <si>
    <t>N° postazioni per 30 min di conferenza*</t>
  </si>
  <si>
    <t>* Da valorizzare solo per profili ITEP-1</t>
  </si>
  <si>
    <t>N° Endpoint</t>
  </si>
  <si>
    <t>N° blocchi da 30 minuti di memorizzazione delle sessioni di video conferenza*</t>
  </si>
  <si>
    <t>SSUS-1</t>
  </si>
  <si>
    <t>STRA-1 (Servizi di supporto al Trasporto) - Team Leader</t>
  </si>
  <si>
    <t>SSUS-2</t>
  </si>
  <si>
    <t>STRA-1 (Servizi di supporto al Trasporto) - Specialista Senior</t>
  </si>
  <si>
    <t>SSUS-3</t>
  </si>
  <si>
    <t>STRA-1 (Servizi di supporto al Trasporto) - Specialista</t>
  </si>
  <si>
    <t>SSUS-4</t>
  </si>
  <si>
    <t>STRA-2 (Servizi di supporto al Trasporto) - Team Leader</t>
  </si>
  <si>
    <t>SSUS-5</t>
  </si>
  <si>
    <t>STRA-2 (Servizi di supporto al Trasporto) - Specialista Senior</t>
  </si>
  <si>
    <t>SSUS-6</t>
  </si>
  <si>
    <t>STRA-2 (Servizi di supporto al Trasporto) - Specialista</t>
  </si>
  <si>
    <t>SSUS-7</t>
  </si>
  <si>
    <t>SSIC-1 (Servizi di supporto alla Sicurezza) - Team Leader</t>
  </si>
  <si>
    <t>SSUS-8</t>
  </si>
  <si>
    <t>SSIC-1 (Servizi di supporto alla Sicurezza) - Specialista Senior</t>
  </si>
  <si>
    <t>SSUS-9</t>
  </si>
  <si>
    <t>SSIC-1 (Servizi di supporto alla Sicurezza) - Specialista</t>
  </si>
  <si>
    <t>SSUS-10</t>
  </si>
  <si>
    <t>SSIC-2 (Servizi di supporto alla Sicurezza) - Team Leader</t>
  </si>
  <si>
    <t>SSUS-11</t>
  </si>
  <si>
    <t>SSIC-2 (Servizi di supporto alla Sicurezza) - Specialista Senior</t>
  </si>
  <si>
    <t>SSUS-12</t>
  </si>
  <si>
    <t>SSIC-2 (Servizi di supporto alla Sicurezza) - Specialista</t>
  </si>
  <si>
    <t>SSUS-13</t>
  </si>
  <si>
    <t>SSIC-3 (Servizi di supporto alla Sicurezza) - Team Leader</t>
  </si>
  <si>
    <t>SSUS-14</t>
  </si>
  <si>
    <t>SSIC-3 (Servizi di supporto alla Sicurezza) - Specialista Senior</t>
  </si>
  <si>
    <t>SSUS-15</t>
  </si>
  <si>
    <t>SSIC-3 (Servizi di supporto alla Sicurezza) - Specialista</t>
  </si>
  <si>
    <t>SSUS-16</t>
  </si>
  <si>
    <t>SSIC-4 (Servizi di supporto alla Sicurezza) - Team Leader</t>
  </si>
  <si>
    <t>SSUS-17</t>
  </si>
  <si>
    <t>SSIC-4 (Servizi di supporto alla Sicurezza) - Specialista Senior</t>
  </si>
  <si>
    <t>SSUS-18</t>
  </si>
  <si>
    <t>SSIC-4 (Servizi di supporto alla Sicurezza) - Specialista</t>
  </si>
  <si>
    <t>SSUS-19</t>
  </si>
  <si>
    <t>SSCE-1 (Servizi di supporto alla Comunicazione Evoluta) - Team Leader</t>
  </si>
  <si>
    <t>SSUS-20</t>
  </si>
  <si>
    <t>SSCE-1 (Servizi di supporto alla Comunicazione Evoluta) - Specialista Senior</t>
  </si>
  <si>
    <t>SSUS-21</t>
  </si>
  <si>
    <t>SSCE-1 (Servizi di supporto alla Comunicazione Evoluta) - Specialista</t>
  </si>
  <si>
    <t>FORM-1</t>
  </si>
  <si>
    <t>FONS-1 (Formazione On Site)</t>
  </si>
  <si>
    <t>FORM-2</t>
  </si>
  <si>
    <t>FONS-2 (Formazione On Site)</t>
  </si>
  <si>
    <t>FORM-3</t>
  </si>
  <si>
    <t>FONS-3 (Formazione On Site)</t>
  </si>
  <si>
    <t>FORM-4</t>
  </si>
  <si>
    <t>FREM-1 (Formazione da Remoto)</t>
  </si>
  <si>
    <t>FORM-5</t>
  </si>
  <si>
    <t>FREM-2 (Formazione da Remoto)</t>
  </si>
  <si>
    <t>SERVIZI DI SUPPORTO SPECIALISTICO</t>
  </si>
  <si>
    <t>SERVIZI DI FORMAZIONE</t>
  </si>
  <si>
    <t>N° GIORNI/UOMO</t>
  </si>
  <si>
    <t>DESCRIZIONE</t>
  </si>
  <si>
    <t>N° GIORNI</t>
  </si>
  <si>
    <t>Servizi di trasporto</t>
  </si>
  <si>
    <t>Cod. Sede</t>
  </si>
  <si>
    <t>Profilo</t>
  </si>
  <si>
    <t>Backup</t>
  </si>
  <si>
    <t>Servizi di posta elettronica</t>
  </si>
  <si>
    <t>Servizi di sicurezza</t>
  </si>
  <si>
    <t>Servizi di comunicazione evoluta Voip: Ceip</t>
  </si>
  <si>
    <t>Servizi di comunicazione evoluta Voip: Gateway</t>
  </si>
  <si>
    <t>Servizi di comunicazione evoluta Voip: ENIP</t>
  </si>
  <si>
    <t>Servizi di comunicazione evoluta Voip: RESI</t>
  </si>
  <si>
    <t>N</t>
  </si>
  <si>
    <t>N blocchi memorizzazione</t>
  </si>
  <si>
    <t>Servizi di comunicazione evoluta Telepresenza: ITEP</t>
  </si>
  <si>
    <t>Servizi di comunicazione evoluta Telepresenza: ETEP</t>
  </si>
  <si>
    <t>Servizi di supporto specialistico</t>
  </si>
  <si>
    <t>Servizi di formazione</t>
  </si>
  <si>
    <t>Descrizione</t>
  </si>
  <si>
    <t>Servizio di Trasporto Dati su portante elettrica  con BNA 640/128 Kbps e  BGA 64 Kbps</t>
  </si>
  <si>
    <t>Servizio di Trasporto Dati su portante elettrica  con BNA: 1024/128 Kbps;  BGA: 64 Kbps</t>
  </si>
  <si>
    <t>Servizio di Trasporto Dati su portante elettrica  con BNA: 1024/256 Kbps;  BGA: 128 Kbps</t>
  </si>
  <si>
    <t>Servizio di Trasporto Dati su portante elettrica  con BNA: 2048/256 Kbps;  BGA: 128 Kbps</t>
  </si>
  <si>
    <t>Servizio di Trasporto Dati su portante elettrica  con BNA: 2048/512 Kbps;  BGA: 256 Kbps</t>
  </si>
  <si>
    <t>Servizio di Trasporto Dati su portante elettrica  con BNA: 4096/512 Kbps;  BGA: 256 Kbps</t>
  </si>
  <si>
    <t>Servizio di Trasporto Dati su portante elettrica  con BNA: 10240/1024 Kbps;  BGA: 512 Kbps</t>
  </si>
  <si>
    <t>Servizio di Trasporto Dati su portante elettrica  con BNA: 20480/1024 Kbps;  BGA: 512 Kbps</t>
  </si>
  <si>
    <t>Servizio di Trasporto Dati su portante elettrica  con BNA: 30720/3072 Kbps;  BGA: 512 Kbps</t>
  </si>
  <si>
    <t>Servizio di Trasporto Dati su portante elettrica  con BNA: 30720/3072 Kbps;  BGA: 1024 Kbps</t>
  </si>
  <si>
    <t>Servizio di Trasporto Dati su portante elettrica  con BNA: 2048/2048 Kbps;  BGA: 256 Kbps</t>
  </si>
  <si>
    <t>Servizio di Trasporto Dati su portante elettrica  con BNA: 2048/2048 Kbps;  BGA: 384 Kbps</t>
  </si>
  <si>
    <t>Servizio di Trasporto Dati su portante elettrica  con BNA: 2048/2048 Kbps;  BGA: 512 Kbps</t>
  </si>
  <si>
    <t>Servizio di Trasporto Dati su portante elettrica  con BNA: 2048/2048 Kbps;  BGA: 1024 Kbps</t>
  </si>
  <si>
    <t>Servizio di Trasporto Dati su portante elettrica  con BNA: 4096/4096 Kbps;  BGA: 2048 Kbps</t>
  </si>
  <si>
    <t>Servizio di Trasporto Dati su portante elettrica  con BNA: 8192/8192 Kbps;  BGA: 4096 Kbps</t>
  </si>
  <si>
    <t>Servizio di Trasporto Dati su portante ottica con BNA: 10 Mbps;  BGA: 10 Mbps</t>
  </si>
  <si>
    <t>Servizio di Trasporto Dati su portante ottica con BNA: 20 Mbps;  BGA: 20 Mbps</t>
  </si>
  <si>
    <t>Servizio di Trasporto Dati su portante ottica con BNA: 40 Mbps;  BGA: 40 Mbps</t>
  </si>
  <si>
    <t>Servizio di Trasporto Dati su portante ottica con BNA: 100 Mbps;  BGA: 100 Mbps</t>
  </si>
  <si>
    <t>Servizio di Trasporto Dati su portante ottica con BNA: 200 Mbps;  BGA: 200 Mbps</t>
  </si>
  <si>
    <t>Servizio di Trasporto Dati su portante ottica con BNA: 300 Mbps;  BGA: 300 Mbps</t>
  </si>
  <si>
    <t>Servizio di Trasporto Dati su portante ottica con BNA: 600 Mbps;  BGA: 600 Mbps</t>
  </si>
  <si>
    <t>Servizio di Trasporto Dati su portante ottica con BNA: 1 Gbps;  BGA: 1 Gbps</t>
  </si>
  <si>
    <t>Servizio di Trasporto Dati su portante ottica con BNA: 2,5 Gbps;  BGA: 2,5 Gbps</t>
  </si>
  <si>
    <t>Servizio di Trasporto Dati su portante ottica con BNA: 5 Gbps;  BGA: 5 Gbps</t>
  </si>
  <si>
    <t>Servizio di Trasporto Dati su portante ottica con BNA: 10 Gbps;  BGA: 10 Gbps</t>
  </si>
  <si>
    <t>Servizio di Trasporto Dati Satellitare con BNA: 20/6 Mbps;  BGA: 32/32 Kbps</t>
  </si>
  <si>
    <t>Servizio di Trasporto Dati Satellitare con BNA: 20/6 Mbps;  BGA: 64/32 Kbps</t>
  </si>
  <si>
    <t>Servizio di Trasporto Dati Satellitare con BNA: 20/6 Mbps;  BGA: 128/64 Kbps</t>
  </si>
  <si>
    <t>Servizio di Trasporto Dati Hiperlan con BNA: 2 Mbps;  BGA: 1 Mbps</t>
  </si>
  <si>
    <t>Servizio di Trasporto Dati Hiperlan con BNA: 4 Mbps;  BGA: 2 Mbps</t>
  </si>
  <si>
    <t>Servizio di Trasporto Dati Hiperlan con BNA: 8 Mbps;  BGA: 4 Mbps</t>
  </si>
  <si>
    <t>Servizio di Trasporto Dati Hiperlan con BNA: 10 Mbps;  BGA: 5 Mbps</t>
  </si>
  <si>
    <t>Servizio di Trasporto Dati Hiperlan con BNA: 20 Mbps;  BGA: 10 Mbps</t>
  </si>
  <si>
    <t>Servizio di Trasporto Dati Hiperlan con BNA: 40 Mbps;  BGA: 20 Mbps</t>
  </si>
  <si>
    <t>Servizio di Trasporto Dati Hiperlan con BNA: 100 Mbps;  BGA: 50 Mbps</t>
  </si>
  <si>
    <t>Opzione multiambito</t>
  </si>
  <si>
    <t>STD-AE</t>
  </si>
  <si>
    <t>Opzione affidabilità elevata associata ai servizi di trasporto dati</t>
  </si>
  <si>
    <t xml:space="preserve">STD-FE </t>
  </si>
  <si>
    <t>Opzione finestra di erogazione estesa  associata ai servizi di trasporto dati</t>
  </si>
  <si>
    <t>STD-AEFE</t>
  </si>
  <si>
    <t>Opzione Affidabilità elevata e Finestra di erogazione estesa  associata ai servizi di trasporto dati</t>
  </si>
  <si>
    <t>RT</t>
  </si>
  <si>
    <t>Servizio accessorio di Banda Riservata (SBRI) di tipo real time</t>
  </si>
  <si>
    <t>MC</t>
  </si>
  <si>
    <t>Servizio accessorio di Banda Riservata (SBRI) di tipo mission critical</t>
  </si>
  <si>
    <t>ST</t>
  </si>
  <si>
    <t>Servizio accessorio di Banda Riservata (SBRI) di tipo streaming</t>
  </si>
  <si>
    <t>MM</t>
  </si>
  <si>
    <t>Servizio accessorio di Banda Riservata (SBRI) di tipo multimedia</t>
  </si>
  <si>
    <t>Servizio accessorio di Banda Riservata (SBRI) di tipo multicast</t>
  </si>
  <si>
    <t>Servizio accessorio di backup di tipo ISDN</t>
  </si>
  <si>
    <t>Servizio accessorio di backup di tipo radiomobile</t>
  </si>
  <si>
    <t>Servizio accessorio di backup di tipo satellitare con traffico annuale di 150 GB</t>
  </si>
  <si>
    <t>Servizio accessorio di backup di tipo satellitare con traffico annuale di 40 GB</t>
  </si>
  <si>
    <t>SCEN-1</t>
  </si>
  <si>
    <t>SCEN-2</t>
  </si>
  <si>
    <t>SCEN-3</t>
  </si>
  <si>
    <t>SCEN-4</t>
  </si>
  <si>
    <t>SCEN-5</t>
  </si>
  <si>
    <t>SCEN-6</t>
  </si>
  <si>
    <t>SCEN-7</t>
  </si>
  <si>
    <t>SCEN-8</t>
  </si>
  <si>
    <t>SCEN-9</t>
  </si>
  <si>
    <t>SCEN-10</t>
  </si>
  <si>
    <t>SCEN-11</t>
  </si>
  <si>
    <t>SCEN-12</t>
  </si>
  <si>
    <t>SCEN-13</t>
  </si>
  <si>
    <t>SCEN-14</t>
  </si>
  <si>
    <t>SCEN-15</t>
  </si>
  <si>
    <t>SCEN-16</t>
  </si>
  <si>
    <t>SCEN-17</t>
  </si>
  <si>
    <t>SCEN-18</t>
  </si>
  <si>
    <t>SCEN-19</t>
  </si>
  <si>
    <t>SCEN-20</t>
  </si>
  <si>
    <t>SCEN-21</t>
  </si>
  <si>
    <t>SCEN-22</t>
  </si>
  <si>
    <t>SCEN-23</t>
  </si>
  <si>
    <t>SPUN-1-AACF</t>
  </si>
  <si>
    <t>Opzione Antivirus/Antispyware &amp; Content Filtering associata al profilo di servizio SPUN-1</t>
  </si>
  <si>
    <t>SPUN-2-AACF</t>
  </si>
  <si>
    <t>Opzione Antivirus/Antispyware &amp; Content Filtering associata al profilo di servizio SPUN-2</t>
  </si>
  <si>
    <t>SPUN-3-AACF</t>
  </si>
  <si>
    <t>Opzione Antivirus/Antispyware &amp; Content Filtering associata al profilo di servizio SPUN-3</t>
  </si>
  <si>
    <t>SPUN-4-AACF</t>
  </si>
  <si>
    <t>Opzione Antivirus/Antispyware &amp; Content Filtering associata al profilo di servizio SPUN-4</t>
  </si>
  <si>
    <t>SPUN-5-AACF</t>
  </si>
  <si>
    <t>Opzione Antivirus/Antispyware &amp; Content Filtering associata al profilo di servizio SPUN-5</t>
  </si>
  <si>
    <t>SPUN-6-AACF</t>
  </si>
  <si>
    <t>Opzione Antivirus/Antispyware &amp; Content Filtering associata al profilo di servizio SPUN-6</t>
  </si>
  <si>
    <t>SPUN-1-AFM</t>
  </si>
  <si>
    <t>Opzione Application Filtering &amp; Monitoring associata al profilo di servizio SPUN-1</t>
  </si>
  <si>
    <t>SPUN-2-AFM</t>
  </si>
  <si>
    <t>Opzione Application Filtering &amp; Monitoring associata al profilo di servizio SPUN-2</t>
  </si>
  <si>
    <t>SPUN-3-AFM</t>
  </si>
  <si>
    <t>Opzione Application Filtering &amp; Monitoring associata al profilo di servizio SPUN-3</t>
  </si>
  <si>
    <t>SPUN-4-AFM</t>
  </si>
  <si>
    <t>Opzione Application Filtering &amp; Monitoring associata al profilo di servizio SPUN-4</t>
  </si>
  <si>
    <t>SPUN-5-AFM</t>
  </si>
  <si>
    <t>Opzione Application Filtering &amp; Monitoring associata al profilo di servizio SPUN-5</t>
  </si>
  <si>
    <t>SPUN-6-AFM</t>
  </si>
  <si>
    <t>Opzione Application Filtering &amp; Monitoring associata al profilo di servizio SPUN-6</t>
  </si>
  <si>
    <t>SPUN-1-VPN</t>
  </si>
  <si>
    <t>Opzione Accesso remoto sicuro VPN associata al profilo di servizio SPUN-1</t>
  </si>
  <si>
    <t>SPUN-2-VPN</t>
  </si>
  <si>
    <t>Opzione Accesso remoto sicuro VPN associata al profilo di servizio SPUN-2</t>
  </si>
  <si>
    <t>SPUN-3-VPN</t>
  </si>
  <si>
    <t>Opzione Accesso remoto sicuro VPN associata al profilo di servizio SPUN-3</t>
  </si>
  <si>
    <t>SPUN-4-VPN</t>
  </si>
  <si>
    <t>Opzione Accesso remoto sicuro VPN associata al profilo di servizio SPUN-4</t>
  </si>
  <si>
    <t>SPUN-5-VPN</t>
  </si>
  <si>
    <t>Opzione Accesso remoto sicuro VPN associata al profilo di servizio SPUN-5</t>
  </si>
  <si>
    <t>SPUN-6-VPN</t>
  </si>
  <si>
    <t>Opzione Accesso remoto sicuro VPN associata al profilo di servizio SPUN-6</t>
  </si>
  <si>
    <t>SSP-AE</t>
  </si>
  <si>
    <t>Opzione affidabilità elevata associata ai servizi di sicurezza perimetrale</t>
  </si>
  <si>
    <t>Opzione finestra di erogazione estesa  associata ai servizi di sicurezza perimetrale</t>
  </si>
  <si>
    <t>SSP-AEFE</t>
  </si>
  <si>
    <t>Opzione Affidabilità elevata e Finestra di erogazione estesa  associata ai servizi di sicurezza perimetrale</t>
  </si>
  <si>
    <t>Servizi di Centralino IP - 30 utenze</t>
  </si>
  <si>
    <t>Servizi di Centralino IP - Da 31 a 100 utenze</t>
  </si>
  <si>
    <t>Servizi di Centralino IP - Da 101 a 300 utenze</t>
  </si>
  <si>
    <t>Servizi di Centralino IP - Oltre 300 utenze</t>
  </si>
  <si>
    <t>Servizi di Gateway IP - 30 utenze</t>
  </si>
  <si>
    <t>Servizi di Gateway IP - Da 31 a 100 utenze</t>
  </si>
  <si>
    <t>Servizi di Gateway IP - Da 101 a 300 utenze</t>
  </si>
  <si>
    <t>Servizi di Gateway IP - Oltre 300 utenze</t>
  </si>
  <si>
    <t>Servizi di Gateway TDM - 30 utenze</t>
  </si>
  <si>
    <t>Servizi di Gateway TDM - Da 31 a 100 utenze</t>
  </si>
  <si>
    <t>Servizi di Gateway TDM - Da 101 a 300 utenze</t>
  </si>
  <si>
    <t>Servizi di Gateway TDM - Oltre 300 utenze</t>
  </si>
  <si>
    <t>Servizi di Resilienza Periferica RESI - 30 utenze</t>
  </si>
  <si>
    <t>Servizi di Resilienza Periferica - Da 31 a 100 utenze</t>
  </si>
  <si>
    <t>Servizi di Resilienza Periferica- Da 101 a 300 utenze</t>
  </si>
  <si>
    <t>Servizi di Resilienza Periferica - Oltre 300 utenze</t>
  </si>
  <si>
    <t>Soft-phone</t>
  </si>
  <si>
    <t>Telefono IP wired – Entry level model</t>
  </si>
  <si>
    <t>Telefono IP wired – Top level model</t>
  </si>
  <si>
    <t>Telefono IP wireless</t>
  </si>
  <si>
    <t>Postazione audio-conference per il servizio VoIP</t>
  </si>
  <si>
    <t>Postazione operatore SW per il servizio VoIP</t>
  </si>
  <si>
    <t>Postazione operatore ipo-vedente per il servizio VoIP</t>
  </si>
  <si>
    <t>Postazione operatore non vedente per il servizio VoIP</t>
  </si>
  <si>
    <t>ENIP-9</t>
  </si>
  <si>
    <t>Analog Terminal Adapter (ATA) per il servizio VoIP</t>
  </si>
  <si>
    <t>Servizi di Gestione dell’Infrastruttura di Telepresenza in modalità Hosted con postazione SD</t>
  </si>
  <si>
    <t>Servizi di Gestione dell’Infrastruttura di Telepresenza in modalità Hosted con postazione HD</t>
  </si>
  <si>
    <t>Servizi di Gestione dell’Infrastruttura di Telepresenza in modalità Managed on-site</t>
  </si>
  <si>
    <t>CEIP-1-ST</t>
  </si>
  <si>
    <t>Opzione segreteria telefonica associata al profilo CEIP-1</t>
  </si>
  <si>
    <t>CEIP-2-ST</t>
  </si>
  <si>
    <t>Opzione segreteria telefonica associata al profilo CEIP-2</t>
  </si>
  <si>
    <t>CEIP-3-ST</t>
  </si>
  <si>
    <t>Opzione segreteria telefonica associata al profilo CEIP-3</t>
  </si>
  <si>
    <t>CEIP-4-ST</t>
  </si>
  <si>
    <t>Opzione segreteria telefonica associata al profilo CEIP-4</t>
  </si>
  <si>
    <t>CEIP-1-BR</t>
  </si>
  <si>
    <t>Opzione breakout associata al profilo CEIP-1</t>
  </si>
  <si>
    <t>CEIP-2-BR</t>
  </si>
  <si>
    <t>Opzione breakout associata al profilo CEIP-2</t>
  </si>
  <si>
    <t>CEIP-3-BR</t>
  </si>
  <si>
    <t>Opzione breakout associata al profilo CEIP-3</t>
  </si>
  <si>
    <t>CEIP-4-BR</t>
  </si>
  <si>
    <t>Opzione breakout associata al profilo CEIP-4</t>
  </si>
  <si>
    <t>RESI-1-BR</t>
  </si>
  <si>
    <t>Opzione breakout associata al profilo RESI-1</t>
  </si>
  <si>
    <t>RESI-2-BR</t>
  </si>
  <si>
    <t>Opzione breakout associata al profilo RESI-2</t>
  </si>
  <si>
    <t>RESI-3-BR</t>
  </si>
  <si>
    <t>Opzione breakout associata al profilo RESI-3</t>
  </si>
  <si>
    <t>RESI-4-BR</t>
  </si>
  <si>
    <t>Opzione breakout associata al profilo RESI-4</t>
  </si>
  <si>
    <t>ITEP-1-RS</t>
  </si>
  <si>
    <t>Opzione registrazione delle sessioni associata al profilo ITEP-1</t>
  </si>
  <si>
    <t>ITEP-2-RS</t>
  </si>
  <si>
    <t>Opzione registrazione delle sessioni associata al profilo ITEP-2</t>
  </si>
  <si>
    <t>SCOE-AE</t>
  </si>
  <si>
    <t>Opzione affidabilità elevata associata ai servizi di comunicazione evoluta</t>
  </si>
  <si>
    <t xml:space="preserve">SCOE-FE </t>
  </si>
  <si>
    <t>Opzione finestra di erogazione estesa  associata ai servizi di comunicazione evoluta</t>
  </si>
  <si>
    <t>SCOE-AEFE</t>
  </si>
  <si>
    <t>Opzione Affidabilità elevata e Finestra di erogazione estesa  associata ai servizi di comunicazione evoluta</t>
  </si>
  <si>
    <t>Supporto al servizio di trasporto con profilo STRA-1: Team Leader</t>
  </si>
  <si>
    <t>Supporto al servizio di trasporto con profilo STRA-1: Specialista Senior</t>
  </si>
  <si>
    <t>Supporto al servizio di trasporto con profilo STRA-1: Specialista</t>
  </si>
  <si>
    <t>Supporto al servizio di trasporto con profilo STRA-2: Team Leader</t>
  </si>
  <si>
    <t>Supporto al servizio di trasporto con profilo STRA-2: Specialista Senior</t>
  </si>
  <si>
    <t>Supporto al servizio di trasporto con profilo STRA-2: Specialista</t>
  </si>
  <si>
    <t>Supporto al servizio di sicurezza con profilo SSIC-1: Team Leader</t>
  </si>
  <si>
    <t>Supporto al servizio di sicurezza con profilo SSIC-1: Specialista Senior</t>
  </si>
  <si>
    <t>Supporto al servizio di sicurezza con profilo SSIC-1: Specialista</t>
  </si>
  <si>
    <t>Supporto al servizio di sicurezza con profilo SSIC-2: Team Leader</t>
  </si>
  <si>
    <t>Supporto al servizio di sicurezza con profilo SSIC-2: Specialista Senior</t>
  </si>
  <si>
    <t>Supporto al servizio di sicurezza con profilo SSIC-2: Specialista</t>
  </si>
  <si>
    <t>Supporto al servizio di sicurezza con profilo SSIC-3: Team Leader</t>
  </si>
  <si>
    <t>Supporto al servizio di sicurezza con profilo SSIC-3: Specialista Senior</t>
  </si>
  <si>
    <t>Supporto al servizio di sicurezza con profilo SSIC-3: Specialista</t>
  </si>
  <si>
    <t>Supporto al servizio di sicurezza con profilo SSIC-4: Team Leader</t>
  </si>
  <si>
    <t>Supporto al servizio di sicurezza con profilo SSIC-4: Specialista Senior</t>
  </si>
  <si>
    <t>Supporto al servizio di sicurezza con profilo SSIC-4: Specialista</t>
  </si>
  <si>
    <t>Supporto al servizio di comunicazione evoluta: Team Leader</t>
  </si>
  <si>
    <t>Supporto al servizio di comunicazione evoluta: Specialista Senior</t>
  </si>
  <si>
    <t>Supporto al servizio di comunicazione evoluta: Specialista</t>
  </si>
  <si>
    <t>Formazione On Site con profilo di servizio FONS-1</t>
  </si>
  <si>
    <t>Formazione On Site con profilo di servizio FONS-2</t>
  </si>
  <si>
    <t>Formazione On Site con profilo di servizio FONS-3</t>
  </si>
  <si>
    <t>Formazione da Remoto con profilo di servizio FREM-1</t>
  </si>
  <si>
    <t>Formazione da Remoto con profilo di servizio FREM-2</t>
  </si>
  <si>
    <t>Canone Mensile
(Iva esclusa)</t>
  </si>
  <si>
    <t>SERVIZI DI TRASPORTO DATI (STD)</t>
  </si>
  <si>
    <t>SERVIZIO DI POSTA ELETTRONICA (SPE)</t>
  </si>
  <si>
    <t>SERVIZI DI SICUREZZA PERIMETRALE (SSP)</t>
  </si>
  <si>
    <t>SERVIZI DI COMUNICAZIONE EVOLUTA (SCOE)</t>
  </si>
  <si>
    <t>SERVIZI DI SUPPORTO PROFESSIONALE (SSUP)</t>
  </si>
  <si>
    <t>Una Tantum Incremento %
[%]</t>
  </si>
  <si>
    <t>Canone Mensile Incremento %
[%]</t>
  </si>
  <si>
    <t>SCEN</t>
  </si>
  <si>
    <t>Affidabilità Elevata + Finestra di erogazione estesa</t>
  </si>
  <si>
    <t>N° Utenze</t>
  </si>
  <si>
    <t>N °canali a 64kbps</t>
  </si>
  <si>
    <t>Segreteria telefonica
N° Utenze</t>
  </si>
  <si>
    <t>Breakout
N° coppie di canali a 64 kbps</t>
  </si>
  <si>
    <t>N Utenze</t>
  </si>
  <si>
    <t>N postazioni</t>
  </si>
  <si>
    <t>Canone Mensile 
(Iva esclusa)</t>
  </si>
  <si>
    <t>AMT</t>
  </si>
  <si>
    <t>FASTWEB</t>
  </si>
  <si>
    <t>VODAFONE</t>
  </si>
  <si>
    <t>Una Tantum
(IVA Esclusa)
[€]</t>
  </si>
  <si>
    <t>Canone Mensile
(IVA Esclusa)
[€]</t>
  </si>
  <si>
    <t>Costo Totale</t>
  </si>
  <si>
    <t>UT STD</t>
  </si>
  <si>
    <t>UT SPE</t>
  </si>
  <si>
    <t>UT SSP</t>
  </si>
  <si>
    <t>UT SCOE</t>
  </si>
  <si>
    <t>UT SSUP</t>
  </si>
  <si>
    <t>CM STD</t>
  </si>
  <si>
    <t>CM SPE</t>
  </si>
  <si>
    <t>CM SSP</t>
  </si>
  <si>
    <t>CM SCOE</t>
  </si>
  <si>
    <t>OFFERTA</t>
  </si>
  <si>
    <t>-</t>
  </si>
  <si>
    <t>Note generali</t>
  </si>
  <si>
    <t>VALORE MASSIMO OFFERTA</t>
  </si>
  <si>
    <t>TOTALE
(Iva esclusa)</t>
  </si>
  <si>
    <t>Durata del Contratto Esecutivo 
(mesi)</t>
  </si>
  <si>
    <t>Avvalendosi delle informazioni contenute in questo foglio le singole Amministrazioni determineranno autonomamente la base d’asta per il rilancio del confronto competitivo tra gli operatori economici sottoscrittori dell’Accordo Quadro, sulla base delle proprie valutazioni tecnico-economiche.
Il foglio "Listino Offerta" dovrà essere compilato dai concorrenti che non potranno comunque indicare prezzi unitari superiori a quelli offerti ai fini dell’aggiudicazione dell’Accordo Quadro.
Nel foglio "Riepilogo Costi Contratto" sono indicati i prezzi delle Una Tantum di attivazione e dei canoni mensili per le tipologie di servizio richieste e il totale complessivamente offerto dal concorrente.</t>
  </si>
  <si>
    <t>In questo foglio l'Ente dovrà solo indicare i mesi di durata del Contratto Esecutivo.</t>
  </si>
  <si>
    <t>Base d'asta</t>
  </si>
  <si>
    <t>L'Ente dovrà indicare i propri fabbisogni provvedendo a compilare i fogli "Dati generali-anagrafici", "Servizi di Trasporto Dati", "Servizi di Sicurezza Perimetr.", "Servizi Com. Evoluta - VoIP", "Servizi Com. Evoluta-Telepres." e "Servizi di Supp. Professionale" e verificando che nelle caselle Controllo Errori non risulti alcun errore.
Il foglio "Listini" contiene l'elenco con la descrizione di tutti i profili di servizio e il costo offerto da ciascun aggiudicatario dell’Accordo Quadro per l'erogazione degli stessi.
Tenendo conto del fatto che ciascun concorrente non può presentare nell’Offerta Economica prezzi unitari superiori a quanto offerto ai fini dell’aggiudicazione dell’Accordo Quadro, nel foglio "Base d'Asta" viene calcolato automaticamente il valore massimo del prezzo che ciascun concorrente potrà offrire relativamente ai servizi e alle rispettive quantità richiesti.</t>
  </si>
  <si>
    <t>100 Mbps</t>
  </si>
  <si>
    <t>200 Mbps</t>
  </si>
  <si>
    <t>300 Mbps</t>
  </si>
  <si>
    <t>600 Mbps</t>
  </si>
  <si>
    <t>1 Gbps</t>
  </si>
  <si>
    <t>2,5 Gbps</t>
  </si>
  <si>
    <t>5 Gbps</t>
  </si>
  <si>
    <t>10 Gbps</t>
  </si>
  <si>
    <t>32/32 Kbps</t>
  </si>
  <si>
    <t>64/32 Kbps</t>
  </si>
  <si>
    <t>128/64 Kbps</t>
  </si>
  <si>
    <t>1 Mbps</t>
  </si>
  <si>
    <t>2 Mbps</t>
  </si>
  <si>
    <t>4 Mbps</t>
  </si>
  <si>
    <t>5 Mbps</t>
  </si>
  <si>
    <t>50 Mbps</t>
  </si>
  <si>
    <t>STDE-A11</t>
  </si>
  <si>
    <t>STDE-A12</t>
  </si>
  <si>
    <t>STDE-A13</t>
  </si>
  <si>
    <t>STDO-12</t>
  </si>
  <si>
    <t>STDO-13</t>
  </si>
  <si>
    <t>SCEN-24</t>
  </si>
  <si>
    <t>SCEN-25</t>
  </si>
  <si>
    <t>Controllo SCEN</t>
  </si>
  <si>
    <t>QUANTITA'</t>
  </si>
  <si>
    <t>SPE-1</t>
  </si>
  <si>
    <t>Caselle di almeno 500 MegaByte (MB)</t>
  </si>
  <si>
    <t>SPE-2</t>
  </si>
  <si>
    <t>Caselle di almeno 2 GByte (GB)</t>
  </si>
  <si>
    <t>Quantità</t>
  </si>
  <si>
    <t>RTI CLIO-IRIDEOS</t>
  </si>
  <si>
    <t>WINDTRE</t>
  </si>
  <si>
    <t>RTI CLIO - IRIDEOS</t>
  </si>
  <si>
    <t>Servizio di Trasporto Dati su portante elettrica  con BNA: 50/10 Mbps;  BGA: 1024 Kbps</t>
  </si>
  <si>
    <t>Servizio di Trasporto Dati su portante elettrica  con BNA: 100/20 Mbps;  BGA: 1024 Kbps</t>
  </si>
  <si>
    <t>Servizio di Trasporto Dati su portante elettrica  con BNA: 200/20 Mbps;  BGA: 1024 Kbps</t>
  </si>
  <si>
    <t>Servizio di Trasporto Dati su portante ottica con BNA: 1 Gbps/100 Mbps;  BGA: 50 Mbps</t>
  </si>
  <si>
    <t>Servizio di Trasporto Dati su portante ottica con BNA: 1/1 Gbps;  BGA: 50 Mbps</t>
  </si>
  <si>
    <t>Servizio di Posta Elettronica con casella da almeno 500 MB</t>
  </si>
  <si>
    <t>Servizio di Posta Elettronica con casella da almeno 2 GB</t>
  </si>
  <si>
    <t>Servizio di sicurezza perimetrale unificata con Firewall Throughput 3000 Mbps, IPS Throughput 400 Mbps, Sessioni Simultanee 1.000.000, Nuove Sessioni/Sec 30.000, Tunnel VPN IPSec  S2S simultanei 10 e Storage Interno 128 GB</t>
  </si>
  <si>
    <t>Servizio di sicurezza perimetrale unificata con Firewall Throughput 20000 Mbps, IPS Throughput 2500 Mbps, Sessioni Simultanee 1.500.000, Nuove Sessioni/Sec 55.000, Tunnel VPN IPSec  S2S simultanei 20 e Storage Interno 480 GB</t>
  </si>
  <si>
    <t>Servizio di sicurezza perimetrale unificata con Firewall Throughput 32000 Mbps, IPS Throughput 5000 Mbps, Sessioni Simultanee 4.000.000, Nuove Sessioni/Sec 290.000, Tunnel VPN IPSec  S2S simultanei 50 e Storage Interno 480 GB</t>
  </si>
  <si>
    <t>Servizio di sicurezza perimetrale unificata con Firewall Throughput 36000 Mbps, IPS Throughput 7500 Mbps, Sessioni Simultanee 7.000.000, Nuove Sessioni/Sec 300.000, Tunnel VPN IPSec  S2S simultanei 100 e Storage Interno: 480 GB</t>
  </si>
  <si>
    <t>Servizio di sicurezza perimetrale unificata con Firewall Throughput 80000 Mbps, IPS Throughput 12500 Mbps, Sessioni Simultanee 8.000.000, Nuove Sessioni/Sec 390.000, Tunnel VPN IPSec  S2S simultanei 500 e Storage Interno: 480 GB</t>
  </si>
  <si>
    <t>Servizio di sicurezza perimetrale unificata con Firewall Throughput 80000 Mbps,  IPS Throughput 23000 Mbps, Sessioni Simultanee 50.000.000, Nuove Sessioni/Sec 400.000, Tunnel VPN IPSec  S2S simultanei 1000 e Storage Interno 480 GB</t>
  </si>
  <si>
    <t>Servizio di sicurezza centralizzata associata al profilo del servizio di trasporto STDE-A1</t>
  </si>
  <si>
    <t>Servizio di sicurezza centralizzata associata al profilo del servizio di trasporto STDE-A2</t>
  </si>
  <si>
    <t>Servizio di sicurezza centralizzata associata al profilo del servizio di trasporto STDE-A3</t>
  </si>
  <si>
    <t>Servizio di sicurezza centralizzata associata al profilo del servizio di trasporto STDE-A4</t>
  </si>
  <si>
    <t>Servizio di sicurezza centralizzata associata al profilo del servizio di trasporto STDE-A5</t>
  </si>
  <si>
    <t>Servizio di sicurezza centralizzata associata al profilo del servizio di trasporto STDE-A6</t>
  </si>
  <si>
    <t>Servizio di sicurezza centralizzata associata al profilo del servizio di trasporto STDE-A7</t>
  </si>
  <si>
    <t>Servizio di sicurezza centralizzata associata al profilo del servizio di trasporto STDE-A8</t>
  </si>
  <si>
    <t>Servizio di sicurezza centralizzata associata al profilo del servizio di trasporto STDE-A9</t>
  </si>
  <si>
    <t>Servizio di sicurezza centralizzata associata al profilo del servizio di trasporto STDE-A10</t>
  </si>
  <si>
    <t>Servizio di sicurezza centralizzata associata al profilo del servizio di trasporto STDE-A11</t>
  </si>
  <si>
    <t>Servizio di sicurezza centralizzata associata al profilo del servizio di trasporto STDE-A12</t>
  </si>
  <si>
    <t>Servizio di sicurezza centralizzata associata al profilo del servizio di trasporto STDE-A13</t>
  </si>
  <si>
    <t>Servizio di sicurezza centralizzata associata al profilo del servizio di trasporto STDE-S1</t>
  </si>
  <si>
    <t>Servizio di sicurezza centralizzata associata al profilo del servizio di trasporto STDE-S2</t>
  </si>
  <si>
    <t>Servizio di sicurezza centralizzata associata al profilo del servizio di trasporto STDE-S3</t>
  </si>
  <si>
    <t>Servizio di sicurezza centralizzata associata al profilo del servizio di trasporto STDE-S4</t>
  </si>
  <si>
    <t>Servizio di sicurezza centralizzata associata al profilo del servizio di trasporto STDE-S5</t>
  </si>
  <si>
    <t>Servizio di sicurezza centralizzata associata al profilo del servizio di trasporto STDE-S6</t>
  </si>
  <si>
    <t>Servizio di sicurezza centralizzata associata al profilo del servizio di trasporto STDS-1</t>
  </si>
  <si>
    <t>Servizio di sicurezza centralizzata associata al profilo del servizio di trasporto STDS-2</t>
  </si>
  <si>
    <t>Servizio di sicurezza centralizzata associata al profilo del servizio di trasporto STDS-3</t>
  </si>
  <si>
    <t>Servizio di sicurezza centralizzata associata al profilo del servizio di trasporto STDH-1</t>
  </si>
  <si>
    <t>Servizio di sicurezza centralizzata associata al profilo del servizio di trasporto STDH-2</t>
  </si>
  <si>
    <t>Servizio di sicurezza centralizzata associata al profilo del servizio di trasporto STDH-3</t>
  </si>
  <si>
    <t>SPUN-1-WAF</t>
  </si>
  <si>
    <t>Opzione Web Application Firewall associata al profilo di servizio SPUN-1</t>
  </si>
  <si>
    <t>SPUN-2-WAF</t>
  </si>
  <si>
    <t>Opzione Web Application Firewall associata al profilo di servizio SPUN-2</t>
  </si>
  <si>
    <t>SPUN-3-WAF</t>
  </si>
  <si>
    <t>Opzione Web Application Firewall associata al profilo di servizio SPUN-3</t>
  </si>
  <si>
    <t>SPUN-4-WAF</t>
  </si>
  <si>
    <t>Opzione Web Application Firewall associata al profilo di servizio SPUN-4</t>
  </si>
  <si>
    <t>SPUN-5-WAF</t>
  </si>
  <si>
    <t>Opzione Web Application Firewall associata al profilo di servizio SPUN-5</t>
  </si>
  <si>
    <t>SPUN-6-WAF</t>
  </si>
  <si>
    <t>Opzione Web Application Firewall associata al profilo di servizio SPUN-6</t>
  </si>
  <si>
    <t>SANDBOX-1</t>
  </si>
  <si>
    <t>Opzione Sandbox con Numero minimo di VM Supportate in contemporanea 6, Numero minimo di file detonati nelle VM per ora 120, Numero minimo Interfacce Network 4x GE RJ45 e Dimensioni totali dischi 1 TB</t>
  </si>
  <si>
    <t>SANDBOX-2</t>
  </si>
  <si>
    <t>Opzione Sandbox con Numero minimo di VM Supportate in contemporanea 14, Numero minimo di file detonati nelle VM per ora 280, Numero minimo Interfacce Network 4x GE RJ45 e 4x GE SFP e Dimensioni totali dischi 2 TB</t>
  </si>
  <si>
    <t>SANDBOX-3</t>
  </si>
  <si>
    <t>Opzione Sandbox con Numero minimo di VM Supportate in contemporanea 24, Numero minimo di file detonati nelle VM per ora 480, Numero minimo Interfacce Network 4x GE RJ45 e 2x GE 10 SFP+ e Dimensioni totali dischi 4 TB</t>
  </si>
  <si>
    <t>DLP</t>
  </si>
  <si>
    <t>Opzione Data Leakage Prevention</t>
  </si>
  <si>
    <t>SGIS</t>
  </si>
  <si>
    <t xml:space="preserve">Opzione Supporto per la gestione degli incidenti di sicurezza </t>
  </si>
  <si>
    <t>SSP-FE</t>
  </si>
  <si>
    <t>Client SW per PC</t>
  </si>
  <si>
    <t>Client SW per dispositivi mobili</t>
  </si>
  <si>
    <t>Postazione da tavolo</t>
  </si>
  <si>
    <t>Postazione base</t>
  </si>
  <si>
    <t>Postazione evoluta</t>
  </si>
  <si>
    <t>Web Application Firewall</t>
  </si>
  <si>
    <t>Data Leakage Prevention</t>
  </si>
  <si>
    <t>Sandbox</t>
  </si>
  <si>
    <t xml:space="preserve">Supporto per la gestione degli incidenti di sicurezza </t>
  </si>
  <si>
    <t>Data Leakage Prevention, N° Endpoint</t>
  </si>
  <si>
    <t>Supporto per la gestione degli incidenti di sicurezza:</t>
  </si>
  <si>
    <t>Registrazione ITEP-2</t>
  </si>
  <si>
    <t>Comune di Trepuzzi</t>
  </si>
  <si>
    <t>si</t>
  </si>
  <si>
    <t>Municipio - Corso Garibaldi n. 10</t>
  </si>
  <si>
    <t>Polizia Locale - Via Brunetti n. 50</t>
  </si>
  <si>
    <t>Trepuzzi</t>
  </si>
  <si>
    <t>Lecce</t>
  </si>
  <si>
    <t>Giancarlo Florio</t>
  </si>
  <si>
    <t>ufficiotecnico@comune.trepuzzi.le.it</t>
  </si>
  <si>
    <t>0832754215</t>
  </si>
  <si>
    <t>ufficiotecnico.comune.trepuzzi.le.it</t>
  </si>
  <si>
    <t>Giuseppe Barrotta</t>
  </si>
  <si>
    <t>vigili@comune.trepuzzi.le.it</t>
  </si>
  <si>
    <t>Piano dei Fabbisogni (PdF) generato per affidamento servizi di connettività RUPAR della durata di 60 mesi (anni 5).
Il presente PdF costituisce base per l'avvio di una trattativa diretta tra l'Amministrazione Comunale e gli operatori economici qualificati da Innovapuglia per l'affidamento del servizio. La trattativa diretta, oltre alla valutazione dei servizi da affidare in convenzione, avrà ad oggetto quale offerta migliorativa anche l'eventuale fornitura di servizi di connettività fuori dal perimetro della convenzione, comunque complementari ai servizi di connettività dell'Ente (ad es. connettività dati/voce delle scuole e altri immobili comunali), al fine di avere un unico interlocutore per tutti i servizi di connettività.
In ragione della particolare condizione economico-finanziaria dell'Ente, saranno valutate positivamente proposte in linea con il mantenimento della spesa attuale su base annuale.</t>
  </si>
</sst>
</file>

<file path=xl/styles.xml><?xml version="1.0" encoding="utf-8"?>
<styleSheet xmlns="http://schemas.openxmlformats.org/spreadsheetml/2006/main">
  <numFmts count="5">
    <numFmt numFmtId="164" formatCode="_-* #,##0.00_-;\-* #,##0.00_-;_-* &quot;-&quot;??_-;_-@_-"/>
    <numFmt numFmtId="165" formatCode="_-&quot;€&quot;\ * #,##0.00_-;\-&quot;€&quot;\ * #,##0.00_-;_-&quot;€&quot;\ * &quot;-&quot;??_-;_-@_-"/>
    <numFmt numFmtId="166" formatCode="_-&quot;€ &quot;* #,##0.00_-;&quot;-€ &quot;* #,##0.00_-;_-&quot;€ &quot;* \-??_-;_-@_-"/>
    <numFmt numFmtId="167" formatCode="&quot;€ &quot;#,##0.00"/>
    <numFmt numFmtId="168" formatCode="&quot;€&quot;\ #,##0.00"/>
  </numFmts>
  <fonts count="39">
    <font>
      <sz val="10"/>
      <name val="Arial"/>
      <family val="2"/>
    </font>
    <font>
      <sz val="10"/>
      <name val="Arial"/>
      <family val="2"/>
    </font>
    <font>
      <sz val="12"/>
      <name val="Times New Roman"/>
      <family val="1"/>
    </font>
    <font>
      <sz val="11"/>
      <color indexed="8"/>
      <name val="Calibri"/>
      <family val="2"/>
    </font>
    <font>
      <sz val="11"/>
      <color indexed="9"/>
      <name val="Calibri"/>
      <family val="2"/>
    </font>
    <font>
      <b/>
      <sz val="11"/>
      <color indexed="52"/>
      <name val="Calibri"/>
      <family val="2"/>
    </font>
    <font>
      <sz val="11"/>
      <color indexed="52"/>
      <name val="Calibri"/>
      <family val="2"/>
    </font>
    <font>
      <b/>
      <sz val="11"/>
      <color indexed="9"/>
      <name val="Calibri"/>
      <family val="2"/>
    </font>
    <font>
      <sz val="11"/>
      <color indexed="62"/>
      <name val="Calibri"/>
      <family val="2"/>
    </font>
    <font>
      <sz val="11"/>
      <color indexed="60"/>
      <name val="Calibri"/>
      <family val="2"/>
    </font>
    <font>
      <b/>
      <sz val="11"/>
      <color indexed="63"/>
      <name val="Calibri"/>
      <family val="2"/>
    </font>
    <font>
      <sz val="10"/>
      <name val="Arial"/>
      <family val="2"/>
      <charset val="204"/>
    </font>
    <font>
      <sz val="11"/>
      <color indexed="10"/>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b/>
      <sz val="11"/>
      <color indexed="8"/>
      <name val="Calibri"/>
      <family val="2"/>
    </font>
    <font>
      <sz val="11"/>
      <color indexed="20"/>
      <name val="Calibri"/>
      <family val="2"/>
    </font>
    <font>
      <sz val="11"/>
      <color indexed="17"/>
      <name val="Calibri"/>
      <family val="2"/>
    </font>
    <font>
      <sz val="8"/>
      <name val="Arial"/>
      <family val="2"/>
    </font>
    <font>
      <b/>
      <sz val="10"/>
      <name val="Arial"/>
      <family val="2"/>
    </font>
    <font>
      <i/>
      <sz val="8"/>
      <name val="Arial"/>
      <family val="2"/>
    </font>
    <font>
      <sz val="12"/>
      <name val="Arial"/>
      <family val="2"/>
    </font>
    <font>
      <b/>
      <sz val="12"/>
      <name val="Arial"/>
      <family val="2"/>
    </font>
    <font>
      <b/>
      <sz val="8"/>
      <name val="Arial"/>
      <family val="2"/>
    </font>
    <font>
      <u/>
      <sz val="10"/>
      <color indexed="12"/>
      <name val="Arial"/>
      <family val="2"/>
    </font>
    <font>
      <b/>
      <u/>
      <sz val="12"/>
      <name val="Arial"/>
      <family val="2"/>
    </font>
    <font>
      <b/>
      <sz val="10"/>
      <color indexed="9"/>
      <name val="Arial"/>
      <family val="2"/>
    </font>
    <font>
      <sz val="10"/>
      <name val="Helv"/>
    </font>
    <font>
      <sz val="10"/>
      <name val="Arial"/>
      <family val="2"/>
    </font>
    <font>
      <sz val="10"/>
      <color indexed="8"/>
      <name val="Arial"/>
      <family val="2"/>
    </font>
    <font>
      <sz val="9"/>
      <name val="Arial"/>
      <family val="2"/>
    </font>
    <font>
      <sz val="10"/>
      <name val="Arial"/>
      <family val="2"/>
    </font>
    <font>
      <sz val="8"/>
      <name val="Calibri"/>
      <family val="2"/>
    </font>
    <font>
      <b/>
      <sz val="10"/>
      <color indexed="8"/>
      <name val="Arial"/>
      <family val="2"/>
    </font>
    <font>
      <sz val="10"/>
      <color theme="1"/>
      <name val="Arial"/>
      <family val="2"/>
    </font>
    <font>
      <sz val="11"/>
      <name val="Calibri"/>
      <family val="2"/>
    </font>
  </fonts>
  <fills count="6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45"/>
      </patternFill>
    </fill>
    <fill>
      <patternFill patternType="solid">
        <fgColor indexed="27"/>
        <bgColor indexed="41"/>
      </patternFill>
    </fill>
    <fill>
      <patternFill patternType="solid">
        <fgColor indexed="47"/>
        <bgColor indexed="22"/>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bgColor indexed="24"/>
      </patternFill>
    </fill>
    <fill>
      <patternFill patternType="solid">
        <fgColor indexed="22"/>
      </patternFill>
    </fill>
    <fill>
      <patternFill patternType="solid">
        <fgColor indexed="55"/>
        <bgColor indexed="23"/>
      </patternFill>
    </fill>
    <fill>
      <patternFill patternType="solid">
        <fgColor indexed="55"/>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43"/>
      </patternFill>
    </fill>
    <fill>
      <patternFill patternType="solid">
        <fgColor indexed="43"/>
        <bgColor indexed="26"/>
      </patternFill>
    </fill>
    <fill>
      <patternFill patternType="solid">
        <fgColor indexed="26"/>
        <bgColor indexed="9"/>
      </patternFill>
    </fill>
    <fill>
      <patternFill patternType="solid">
        <fgColor indexed="26"/>
      </patternFill>
    </fill>
    <fill>
      <patternFill patternType="solid">
        <fgColor indexed="48"/>
        <bgColor indexed="30"/>
      </patternFill>
    </fill>
    <fill>
      <patternFill patternType="solid">
        <fgColor indexed="43"/>
        <bgColor indexed="64"/>
      </patternFill>
    </fill>
    <fill>
      <patternFill patternType="solid">
        <fgColor indexed="10"/>
        <bgColor indexed="30"/>
      </patternFill>
    </fill>
    <fill>
      <patternFill patternType="solid">
        <fgColor indexed="17"/>
        <bgColor indexed="30"/>
      </patternFill>
    </fill>
    <fill>
      <patternFill patternType="solid">
        <fgColor indexed="53"/>
        <bgColor indexed="30"/>
      </patternFill>
    </fill>
    <fill>
      <patternFill patternType="solid">
        <fgColor indexed="22"/>
        <bgColor indexed="30"/>
      </patternFill>
    </fill>
    <fill>
      <patternFill patternType="solid">
        <fgColor indexed="9"/>
        <bgColor indexed="26"/>
      </patternFill>
    </fill>
    <fill>
      <patternFill patternType="solid">
        <fgColor indexed="21"/>
        <bgColor indexed="30"/>
      </patternFill>
    </fill>
    <fill>
      <patternFill patternType="solid">
        <fgColor indexed="22"/>
        <bgColor indexed="31"/>
      </patternFill>
    </fill>
    <fill>
      <patternFill patternType="solid">
        <fgColor indexed="9"/>
        <bgColor indexed="64"/>
      </patternFill>
    </fill>
    <fill>
      <patternFill patternType="lightUp">
        <bgColor indexed="43"/>
      </patternFill>
    </fill>
    <fill>
      <patternFill patternType="lightUp"/>
    </fill>
    <fill>
      <patternFill patternType="solid">
        <fgColor indexed="13"/>
        <bgColor indexed="34"/>
      </patternFill>
    </fill>
    <fill>
      <patternFill patternType="solid">
        <fgColor indexed="43"/>
        <bgColor indexed="30"/>
      </patternFill>
    </fill>
    <fill>
      <patternFill patternType="solid">
        <fgColor indexed="42"/>
        <bgColor indexed="64"/>
      </patternFill>
    </fill>
    <fill>
      <patternFill patternType="solid">
        <fgColor rgb="FFFFFF99"/>
        <bgColor indexed="64"/>
      </patternFill>
    </fill>
  </fills>
  <borders count="132">
    <border>
      <left/>
      <right/>
      <top/>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8"/>
      </left>
      <right/>
      <top style="medium">
        <color indexed="8"/>
      </top>
      <bottom/>
      <diagonal/>
    </border>
    <border>
      <left/>
      <right/>
      <top style="medium">
        <color indexed="8"/>
      </top>
      <bottom/>
      <diagonal/>
    </border>
    <border>
      <left/>
      <right style="medium">
        <color indexed="8"/>
      </right>
      <top style="medium">
        <color indexed="8"/>
      </top>
      <bottom/>
      <diagonal/>
    </border>
    <border>
      <left style="medium">
        <color indexed="8"/>
      </left>
      <right/>
      <top/>
      <bottom/>
      <diagonal/>
    </border>
    <border>
      <left/>
      <right style="medium">
        <color indexed="8"/>
      </right>
      <top/>
      <bottom/>
      <diagonal/>
    </border>
    <border>
      <left style="medium">
        <color indexed="8"/>
      </left>
      <right/>
      <top/>
      <bottom style="medium">
        <color indexed="8"/>
      </bottom>
      <diagonal/>
    </border>
    <border>
      <left/>
      <right/>
      <top/>
      <bottom style="medium">
        <color indexed="8"/>
      </bottom>
      <diagonal/>
    </border>
    <border>
      <left/>
      <right style="medium">
        <color indexed="8"/>
      </right>
      <top/>
      <bottom style="medium">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style="thin">
        <color indexed="8"/>
      </left>
      <right/>
      <top/>
      <bottom style="thin">
        <color indexed="8"/>
      </bottom>
      <diagonal/>
    </border>
    <border>
      <left style="medium">
        <color indexed="8"/>
      </left>
      <right style="medium">
        <color indexed="8"/>
      </right>
      <top style="medium">
        <color indexed="8"/>
      </top>
      <bottom style="thin">
        <color indexed="8"/>
      </bottom>
      <diagonal/>
    </border>
    <border>
      <left style="medium">
        <color indexed="8"/>
      </left>
      <right style="medium">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medium">
        <color indexed="64"/>
      </left>
      <right/>
      <top style="thin">
        <color indexed="8"/>
      </top>
      <bottom style="thin">
        <color indexed="8"/>
      </bottom>
      <diagonal/>
    </border>
    <border>
      <left style="medium">
        <color indexed="64"/>
      </left>
      <right style="thin">
        <color indexed="8"/>
      </right>
      <top style="thin">
        <color indexed="8"/>
      </top>
      <bottom style="thin">
        <color indexed="8"/>
      </bottom>
      <diagonal/>
    </border>
    <border>
      <left style="medium">
        <color indexed="64"/>
      </left>
      <right style="thin">
        <color indexed="8"/>
      </right>
      <top style="thin">
        <color indexed="8"/>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8"/>
      </top>
      <bottom style="medium">
        <color indexed="64"/>
      </bottom>
      <diagonal/>
    </border>
    <border>
      <left style="thin">
        <color indexed="8"/>
      </left>
      <right style="thin">
        <color indexed="8"/>
      </right>
      <top style="thin">
        <color indexed="8"/>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medium">
        <color indexed="64"/>
      </right>
      <top/>
      <bottom/>
      <diagonal/>
    </border>
    <border>
      <left style="medium">
        <color indexed="64"/>
      </left>
      <right/>
      <top/>
      <bottom style="thin">
        <color indexed="8"/>
      </bottom>
      <diagonal/>
    </border>
    <border>
      <left style="thin">
        <color indexed="64"/>
      </left>
      <right/>
      <top style="thin">
        <color indexed="64"/>
      </top>
      <bottom style="thin">
        <color indexed="64"/>
      </bottom>
      <diagonal/>
    </border>
    <border>
      <left style="medium">
        <color indexed="8"/>
      </left>
      <right style="thin">
        <color indexed="8"/>
      </right>
      <top style="medium">
        <color indexed="8"/>
      </top>
      <bottom/>
      <diagonal/>
    </border>
    <border>
      <left style="thin">
        <color indexed="8"/>
      </left>
      <right style="medium">
        <color indexed="8"/>
      </right>
      <top style="medium">
        <color indexed="8"/>
      </top>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8"/>
      </right>
      <top style="medium">
        <color indexed="64"/>
      </top>
      <bottom style="thin">
        <color indexed="8"/>
      </bottom>
      <diagonal/>
    </border>
    <border>
      <left style="thin">
        <color indexed="8"/>
      </left>
      <right style="thin">
        <color indexed="8"/>
      </right>
      <top style="medium">
        <color indexed="64"/>
      </top>
      <bottom style="thin">
        <color indexed="8"/>
      </bottom>
      <diagonal/>
    </border>
    <border>
      <left style="thin">
        <color indexed="8"/>
      </left>
      <right style="medium">
        <color indexed="64"/>
      </right>
      <top style="medium">
        <color indexed="64"/>
      </top>
      <bottom style="thin">
        <color indexed="8"/>
      </bottom>
      <diagonal/>
    </border>
    <border>
      <left style="thin">
        <color indexed="8"/>
      </left>
      <right style="medium">
        <color indexed="64"/>
      </right>
      <top style="thin">
        <color indexed="8"/>
      </top>
      <bottom style="thin">
        <color indexed="8"/>
      </bottom>
      <diagonal/>
    </border>
    <border>
      <left style="thin">
        <color indexed="8"/>
      </left>
      <right style="medium">
        <color indexed="64"/>
      </right>
      <top style="thin">
        <color indexed="8"/>
      </top>
      <bottom style="medium">
        <color indexed="64"/>
      </bottom>
      <diagonal/>
    </border>
    <border>
      <left/>
      <right style="thin">
        <color indexed="64"/>
      </right>
      <top style="thin">
        <color indexed="64"/>
      </top>
      <bottom style="thin">
        <color indexed="64"/>
      </bottom>
      <diagonal/>
    </border>
    <border>
      <left/>
      <right/>
      <top/>
      <bottom style="thin">
        <color indexed="8"/>
      </bottom>
      <diagonal/>
    </border>
    <border>
      <left/>
      <right style="thin">
        <color indexed="8"/>
      </right>
      <top/>
      <bottom style="medium">
        <color indexed="64"/>
      </bottom>
      <diagonal/>
    </border>
    <border>
      <left style="thin">
        <color indexed="8"/>
      </left>
      <right/>
      <top style="thin">
        <color indexed="8"/>
      </top>
      <bottom style="medium">
        <color indexed="64"/>
      </bottom>
      <diagonal/>
    </border>
    <border>
      <left/>
      <right style="medium">
        <color indexed="64"/>
      </right>
      <top/>
      <bottom style="thin">
        <color indexed="8"/>
      </bottom>
      <diagonal/>
    </border>
    <border>
      <left/>
      <right style="medium">
        <color indexed="64"/>
      </right>
      <top style="thin">
        <color indexed="8"/>
      </top>
      <bottom style="thin">
        <color indexed="8"/>
      </bottom>
      <diagonal/>
    </border>
    <border>
      <left/>
      <right style="medium">
        <color indexed="64"/>
      </right>
      <top style="thin">
        <color indexed="8"/>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diagonal/>
    </border>
    <border>
      <left style="thin">
        <color indexed="8"/>
      </left>
      <right style="medium">
        <color indexed="8"/>
      </right>
      <top/>
      <bottom style="medium">
        <color indexed="8"/>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style="thin">
        <color indexed="8"/>
      </bottom>
      <diagonal/>
    </border>
    <border>
      <left style="medium">
        <color indexed="64"/>
      </left>
      <right style="medium">
        <color indexed="64"/>
      </right>
      <top style="thin">
        <color indexed="8"/>
      </top>
      <bottom style="thin">
        <color indexed="8"/>
      </bottom>
      <diagonal/>
    </border>
    <border>
      <left style="medium">
        <color indexed="64"/>
      </left>
      <right style="medium">
        <color indexed="64"/>
      </right>
      <top style="thin">
        <color indexed="8"/>
      </top>
      <bottom style="medium">
        <color indexed="64"/>
      </bottom>
      <diagonal/>
    </border>
    <border>
      <left/>
      <right style="thin">
        <color indexed="64"/>
      </right>
      <top style="medium">
        <color indexed="8"/>
      </top>
      <bottom style="thin">
        <color indexed="64"/>
      </bottom>
      <diagonal/>
    </border>
    <border>
      <left/>
      <right style="thin">
        <color indexed="8"/>
      </right>
      <top style="thin">
        <color indexed="64"/>
      </top>
      <bottom style="medium">
        <color indexed="64"/>
      </bottom>
      <diagonal/>
    </border>
    <border>
      <left style="thin">
        <color indexed="8"/>
      </left>
      <right style="medium">
        <color indexed="8"/>
      </right>
      <top style="thin">
        <color indexed="8"/>
      </top>
      <bottom style="medium">
        <color indexed="64"/>
      </bottom>
      <diagonal/>
    </border>
    <border>
      <left/>
      <right style="thin">
        <color indexed="8"/>
      </right>
      <top style="thin">
        <color indexed="8"/>
      </top>
      <bottom style="medium">
        <color indexed="64"/>
      </bottom>
      <diagonal/>
    </border>
    <border>
      <left style="medium">
        <color indexed="8"/>
      </left>
      <right style="medium">
        <color indexed="8"/>
      </right>
      <top style="thin">
        <color indexed="8"/>
      </top>
      <bottom style="medium">
        <color indexed="64"/>
      </bottom>
      <diagonal/>
    </border>
    <border>
      <left/>
      <right/>
      <top style="thin">
        <color indexed="64"/>
      </top>
      <bottom style="thin">
        <color indexed="64"/>
      </bottom>
      <diagonal/>
    </border>
    <border>
      <left/>
      <right style="thin">
        <color indexed="8"/>
      </right>
      <top/>
      <bottom/>
      <diagonal/>
    </border>
    <border>
      <left style="thin">
        <color indexed="8"/>
      </left>
      <right/>
      <top style="medium">
        <color indexed="64"/>
      </top>
      <bottom style="medium">
        <color indexed="64"/>
      </bottom>
      <diagonal/>
    </border>
    <border>
      <left/>
      <right style="thin">
        <color indexed="8"/>
      </right>
      <top style="medium">
        <color indexed="64"/>
      </top>
      <bottom/>
      <diagonal/>
    </border>
    <border>
      <left style="medium">
        <color indexed="64"/>
      </left>
      <right/>
      <top/>
      <bottom/>
      <diagonal/>
    </border>
    <border>
      <left style="medium">
        <color indexed="64"/>
      </left>
      <right/>
      <top style="medium">
        <color indexed="64"/>
      </top>
      <bottom/>
      <diagonal/>
    </border>
    <border>
      <left style="medium">
        <color indexed="8"/>
      </left>
      <right style="medium">
        <color indexed="8"/>
      </right>
      <top style="medium">
        <color indexed="8"/>
      </top>
      <bottom style="medium">
        <color indexed="8"/>
      </bottom>
      <diagonal/>
    </border>
    <border>
      <left style="thin">
        <color indexed="8"/>
      </left>
      <right style="medium">
        <color indexed="8"/>
      </right>
      <top style="thin">
        <color indexed="8"/>
      </top>
      <bottom style="medium">
        <color indexed="8"/>
      </bottom>
      <diagonal/>
    </border>
    <border>
      <left style="medium">
        <color indexed="8"/>
      </left>
      <right style="medium">
        <color indexed="8"/>
      </right>
      <top/>
      <bottom style="thin">
        <color indexed="8"/>
      </bottom>
      <diagonal/>
    </border>
    <border>
      <left/>
      <right style="medium">
        <color indexed="8"/>
      </right>
      <top/>
      <bottom style="thin">
        <color indexed="8"/>
      </bottom>
      <diagonal/>
    </border>
    <border>
      <left style="medium">
        <color indexed="8"/>
      </left>
      <right style="medium">
        <color indexed="8"/>
      </right>
      <top/>
      <bottom style="medium">
        <color indexed="8"/>
      </bottom>
      <diagonal/>
    </border>
    <border>
      <left style="medium">
        <color indexed="8"/>
      </left>
      <right style="thin">
        <color indexed="8"/>
      </right>
      <top style="thin">
        <color indexed="8"/>
      </top>
      <bottom style="medium">
        <color indexed="8"/>
      </bottom>
      <diagonal/>
    </border>
    <border>
      <left style="medium">
        <color indexed="8"/>
      </left>
      <right style="thin">
        <color indexed="8"/>
      </right>
      <top style="thin">
        <color indexed="8"/>
      </top>
      <bottom/>
      <diagonal/>
    </border>
    <border>
      <left style="thin">
        <color indexed="8"/>
      </left>
      <right style="thin">
        <color indexed="8"/>
      </right>
      <top style="thin">
        <color indexed="8"/>
      </top>
      <bottom/>
      <diagonal/>
    </border>
    <border>
      <left style="thin">
        <color indexed="8"/>
      </left>
      <right style="thin">
        <color indexed="8"/>
      </right>
      <top/>
      <bottom style="medium">
        <color indexed="8"/>
      </bottom>
      <diagonal/>
    </border>
    <border>
      <left style="thin">
        <color indexed="8"/>
      </left>
      <right style="thin">
        <color indexed="8"/>
      </right>
      <top/>
      <bottom style="medium">
        <color indexed="64"/>
      </bottom>
      <diagonal/>
    </border>
    <border>
      <left style="thin">
        <color indexed="8"/>
      </left>
      <right style="thin">
        <color indexed="8"/>
      </right>
      <top style="thin">
        <color indexed="8"/>
      </top>
      <bottom style="medium">
        <color indexed="8"/>
      </bottom>
      <diagonal/>
    </border>
    <border>
      <left/>
      <right style="thin">
        <color indexed="8"/>
      </right>
      <top style="thin">
        <color indexed="8"/>
      </top>
      <bottom style="medium">
        <color indexed="8"/>
      </bottom>
      <diagonal/>
    </border>
    <border>
      <left/>
      <right/>
      <top style="medium">
        <color indexed="64"/>
      </top>
      <bottom style="medium">
        <color indexed="64"/>
      </bottom>
      <diagonal/>
    </border>
    <border>
      <left/>
      <right style="thin">
        <color indexed="8"/>
      </right>
      <top style="medium">
        <color indexed="64"/>
      </top>
      <bottom style="medium">
        <color indexed="64"/>
      </bottom>
      <diagonal/>
    </border>
    <border>
      <left style="thin">
        <color indexed="8"/>
      </left>
      <right style="thin">
        <color indexed="8"/>
      </right>
      <top style="medium">
        <color indexed="64"/>
      </top>
      <bottom/>
      <diagonal/>
    </border>
    <border>
      <left style="thin">
        <color indexed="8"/>
      </left>
      <right style="thin">
        <color indexed="8"/>
      </right>
      <top/>
      <bottom/>
      <diagonal/>
    </border>
    <border>
      <left style="thin">
        <color indexed="8"/>
      </left>
      <right/>
      <top style="medium">
        <color indexed="64"/>
      </top>
      <bottom style="thin">
        <color indexed="8"/>
      </bottom>
      <diagonal/>
    </border>
    <border>
      <left/>
      <right/>
      <top style="medium">
        <color indexed="64"/>
      </top>
      <bottom style="thin">
        <color indexed="8"/>
      </bottom>
      <diagonal/>
    </border>
    <border>
      <left/>
      <right style="thin">
        <color indexed="8"/>
      </right>
      <top style="medium">
        <color indexed="64"/>
      </top>
      <bottom style="thin">
        <color indexed="8"/>
      </bottom>
      <diagonal/>
    </border>
    <border>
      <left style="thin">
        <color indexed="8"/>
      </left>
      <right style="medium">
        <color indexed="64"/>
      </right>
      <top style="medium">
        <color indexed="64"/>
      </top>
      <bottom/>
      <diagonal/>
    </border>
    <border>
      <left style="thin">
        <color indexed="8"/>
      </left>
      <right style="medium">
        <color indexed="64"/>
      </right>
      <top/>
      <bottom/>
      <diagonal/>
    </border>
    <border>
      <left style="thin">
        <color indexed="8"/>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theme="0"/>
      </left>
      <right/>
      <top style="thin">
        <color theme="0"/>
      </top>
      <bottom/>
      <diagonal/>
    </border>
    <border>
      <left style="thin">
        <color theme="0"/>
      </left>
      <right/>
      <top/>
      <bottom style="thin">
        <color theme="0"/>
      </bottom>
      <diagonal/>
    </border>
    <border>
      <left style="medium">
        <color theme="1"/>
      </left>
      <right style="medium">
        <color theme="1"/>
      </right>
      <top style="medium">
        <color theme="1"/>
      </top>
      <bottom style="medium">
        <color theme="1"/>
      </bottom>
      <diagonal/>
    </border>
  </borders>
  <cellStyleXfs count="106">
    <xf numFmtId="0" fontId="0" fillId="0" borderId="0"/>
    <xf numFmtId="0" fontId="31" fillId="0" borderId="0"/>
    <xf numFmtId="0" fontId="31" fillId="0" borderId="0"/>
    <xf numFmtId="0" fontId="31" fillId="0" borderId="0"/>
    <xf numFmtId="0" fontId="31" fillId="0" borderId="0"/>
    <xf numFmtId="0" fontId="30" fillId="0" borderId="0"/>
    <xf numFmtId="0" fontId="30" fillId="0" borderId="0"/>
    <xf numFmtId="0" fontId="31" fillId="0" borderId="0"/>
    <xf numFmtId="0" fontId="30" fillId="0" borderId="0"/>
    <xf numFmtId="0" fontId="30" fillId="0" borderId="0"/>
    <xf numFmtId="0" fontId="31" fillId="0" borderId="0"/>
    <xf numFmtId="0" fontId="2" fillId="0" borderId="0"/>
    <xf numFmtId="0" fontId="3" fillId="2"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5" borderId="0" applyNumberFormat="0" applyBorder="0" applyAlignment="0" applyProtection="0"/>
    <xf numFmtId="0" fontId="3" fillId="14"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11" borderId="0" applyNumberFormat="0" applyBorder="0" applyAlignment="0" applyProtection="0"/>
    <xf numFmtId="0" fontId="3" fillId="18" borderId="0" applyNumberFormat="0" applyBorder="0" applyAlignment="0" applyProtection="0"/>
    <xf numFmtId="0" fontId="3" fillId="21" borderId="0" applyNumberFormat="0" applyBorder="0" applyAlignment="0" applyProtection="0"/>
    <xf numFmtId="0" fontId="4" fillId="22"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33" borderId="0" applyNumberFormat="0" applyBorder="0" applyAlignment="0" applyProtection="0"/>
    <xf numFmtId="0" fontId="19" fillId="3" borderId="0" applyNumberFormat="0" applyBorder="0" applyAlignment="0" applyProtection="0"/>
    <xf numFmtId="0" fontId="5" fillId="34" borderId="1" applyNumberFormat="0" applyAlignment="0" applyProtection="0"/>
    <xf numFmtId="0" fontId="5" fillId="35" borderId="1" applyNumberFormat="0" applyAlignment="0" applyProtection="0"/>
    <xf numFmtId="0" fontId="6" fillId="0" borderId="2" applyNumberFormat="0" applyFill="0" applyAlignment="0" applyProtection="0"/>
    <xf numFmtId="0" fontId="7" fillId="36" borderId="3" applyNumberFormat="0" applyAlignment="0" applyProtection="0"/>
    <xf numFmtId="0" fontId="7" fillId="37" borderId="3" applyNumberFormat="0" applyAlignment="0" applyProtection="0"/>
    <xf numFmtId="0" fontId="27" fillId="0" borderId="0" applyNumberFormat="0" applyFill="0" applyBorder="0" applyAlignment="0" applyProtection="0"/>
    <xf numFmtId="0" fontId="4" fillId="38" borderId="0" applyNumberFormat="0" applyBorder="0" applyAlignment="0" applyProtection="0"/>
    <xf numFmtId="0" fontId="4" fillId="39" borderId="0" applyNumberFormat="0" applyBorder="0" applyAlignment="0" applyProtection="0"/>
    <xf numFmtId="0" fontId="4" fillId="40"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41" borderId="0" applyNumberFormat="0" applyBorder="0" applyAlignment="0" applyProtection="0"/>
    <xf numFmtId="166" fontId="31" fillId="0" borderId="0" applyFill="0" applyBorder="0" applyAlignment="0" applyProtection="0"/>
    <xf numFmtId="166" fontId="31" fillId="0" borderId="0" applyFill="0" applyBorder="0" applyAlignment="0" applyProtection="0"/>
    <xf numFmtId="165" fontId="31" fillId="0" borderId="0" applyFont="0" applyFill="0" applyBorder="0" applyAlignment="0" applyProtection="0"/>
    <xf numFmtId="0" fontId="13" fillId="0" borderId="0" applyNumberFormat="0" applyFill="0" applyBorder="0" applyAlignment="0" applyProtection="0"/>
    <xf numFmtId="0" fontId="20" fillId="4" borderId="0" applyNumberFormat="0" applyBorder="0" applyAlignment="0" applyProtection="0"/>
    <xf numFmtId="0" fontId="15" fillId="0" borderId="4" applyNumberFormat="0" applyFill="0" applyAlignment="0" applyProtection="0"/>
    <xf numFmtId="0" fontId="16" fillId="0" borderId="5" applyNumberFormat="0" applyFill="0" applyAlignment="0" applyProtection="0"/>
    <xf numFmtId="0" fontId="17" fillId="0" borderId="6" applyNumberFormat="0" applyFill="0" applyAlignment="0" applyProtection="0"/>
    <xf numFmtId="0" fontId="17" fillId="0" borderId="0" applyNumberFormat="0" applyFill="0" applyBorder="0" applyAlignment="0" applyProtection="0"/>
    <xf numFmtId="0" fontId="8" fillId="13" borderId="1" applyNumberFormat="0" applyAlignment="0" applyProtection="0"/>
    <xf numFmtId="0" fontId="6" fillId="0" borderId="2" applyNumberFormat="0" applyFill="0" applyAlignment="0" applyProtection="0"/>
    <xf numFmtId="164" fontId="31" fillId="0" borderId="0" applyFont="0" applyFill="0" applyBorder="0" applyAlignment="0" applyProtection="0"/>
    <xf numFmtId="0" fontId="9" fillId="42" borderId="0" applyNumberFormat="0" applyBorder="0" applyAlignment="0" applyProtection="0"/>
    <xf numFmtId="0" fontId="9" fillId="43" borderId="0" applyNumberFormat="0" applyBorder="0" applyAlignment="0" applyProtection="0"/>
    <xf numFmtId="0" fontId="31" fillId="0" borderId="0"/>
    <xf numFmtId="0" fontId="3" fillId="0" borderId="0"/>
    <xf numFmtId="0" fontId="3" fillId="0" borderId="0"/>
    <xf numFmtId="0" fontId="31" fillId="0" borderId="0"/>
    <xf numFmtId="0" fontId="31" fillId="44" borderId="7" applyNumberFormat="0" applyAlignment="0" applyProtection="0"/>
    <xf numFmtId="0" fontId="3" fillId="45" borderId="7" applyNumberFormat="0" applyFont="0" applyAlignment="0" applyProtection="0"/>
    <xf numFmtId="0" fontId="10" fillId="34" borderId="8" applyNumberFormat="0" applyAlignment="0" applyProtection="0"/>
    <xf numFmtId="9" fontId="31" fillId="0" borderId="0" applyFont="0" applyFill="0" applyBorder="0" applyAlignment="0" applyProtection="0"/>
    <xf numFmtId="0" fontId="11" fillId="0" borderId="0"/>
    <xf numFmtId="0" fontId="12"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5" fillId="0" borderId="4" applyNumberFormat="0" applyFill="0" applyAlignment="0" applyProtection="0"/>
    <xf numFmtId="0" fontId="16" fillId="0" borderId="5" applyNumberFormat="0" applyFill="0" applyAlignment="0" applyProtection="0"/>
    <xf numFmtId="0" fontId="17" fillId="0" borderId="6" applyNumberFormat="0" applyFill="0" applyAlignment="0" applyProtection="0"/>
    <xf numFmtId="0" fontId="17" fillId="0" borderId="0" applyNumberFormat="0" applyFill="0" applyBorder="0" applyAlignment="0" applyProtection="0"/>
    <xf numFmtId="0" fontId="18" fillId="0" borderId="9" applyNumberFormat="0" applyFill="0" applyAlignment="0" applyProtection="0"/>
    <xf numFmtId="0" fontId="18" fillId="0" borderId="9" applyNumberFormat="0" applyFill="0" applyAlignment="0" applyProtection="0"/>
    <xf numFmtId="0" fontId="19" fillId="9" borderId="0" applyNumberFormat="0" applyBorder="0" applyAlignment="0" applyProtection="0"/>
    <xf numFmtId="0" fontId="20" fillId="10" borderId="0" applyNumberFormat="0" applyBorder="0" applyAlignment="0" applyProtection="0"/>
    <xf numFmtId="165" fontId="1" fillId="0" borderId="0" applyFill="0" applyBorder="0" applyAlignment="0" applyProtection="0"/>
    <xf numFmtId="165" fontId="3" fillId="0" borderId="0" applyFont="0" applyFill="0" applyBorder="0" applyAlignment="0" applyProtection="0"/>
    <xf numFmtId="165" fontId="1" fillId="0" borderId="0" applyFill="0" applyBorder="0" applyAlignment="0" applyProtection="0"/>
    <xf numFmtId="0" fontId="12" fillId="0" borderId="0" applyNumberFormat="0" applyFill="0" applyBorder="0" applyAlignment="0" applyProtection="0"/>
  </cellStyleXfs>
  <cellXfs count="422">
    <xf numFmtId="0" fontId="0" fillId="0" borderId="0" xfId="0"/>
    <xf numFmtId="0" fontId="21" fillId="0" borderId="0" xfId="0" applyFont="1" applyProtection="1">
      <protection hidden="1"/>
    </xf>
    <xf numFmtId="0" fontId="0" fillId="0" borderId="0" xfId="0" applyProtection="1">
      <protection hidden="1"/>
    </xf>
    <xf numFmtId="0" fontId="0" fillId="0" borderId="0" xfId="0" applyAlignment="1" applyProtection="1">
      <alignment horizontal="justify"/>
      <protection hidden="1"/>
    </xf>
    <xf numFmtId="0" fontId="0" fillId="34" borderId="10" xfId="0" applyFill="1" applyBorder="1" applyProtection="1">
      <protection hidden="1"/>
    </xf>
    <xf numFmtId="0" fontId="0" fillId="34" borderId="11" xfId="0" applyFill="1" applyBorder="1" applyProtection="1">
      <protection hidden="1"/>
    </xf>
    <xf numFmtId="0" fontId="0" fillId="34" borderId="11" xfId="0" applyFill="1" applyBorder="1" applyAlignment="1" applyProtection="1">
      <alignment horizontal="justify"/>
      <protection hidden="1"/>
    </xf>
    <xf numFmtId="0" fontId="0" fillId="34" borderId="12" xfId="0" applyFill="1" applyBorder="1" applyProtection="1">
      <protection hidden="1"/>
    </xf>
    <xf numFmtId="0" fontId="0" fillId="34" borderId="13" xfId="0" applyFill="1" applyBorder="1" applyProtection="1">
      <protection hidden="1"/>
    </xf>
    <xf numFmtId="0" fontId="22" fillId="34" borderId="0" xfId="0" applyFont="1" applyFill="1" applyProtection="1">
      <protection hidden="1"/>
    </xf>
    <xf numFmtId="0" fontId="0" fillId="34" borderId="0" xfId="0" applyFill="1" applyAlignment="1" applyProtection="1">
      <alignment horizontal="justify"/>
      <protection hidden="1"/>
    </xf>
    <xf numFmtId="0" fontId="0" fillId="34" borderId="14" xfId="0" applyFill="1" applyBorder="1" applyProtection="1">
      <protection hidden="1"/>
    </xf>
    <xf numFmtId="0" fontId="0" fillId="34" borderId="0" xfId="0" applyFill="1" applyProtection="1">
      <protection hidden="1"/>
    </xf>
    <xf numFmtId="0" fontId="0" fillId="34" borderId="0" xfId="0" applyFill="1" applyAlignment="1" applyProtection="1">
      <alignment horizontal="justify" wrapText="1"/>
      <protection hidden="1"/>
    </xf>
    <xf numFmtId="0" fontId="23" fillId="0" borderId="0" xfId="0" applyFont="1" applyProtection="1">
      <protection hidden="1"/>
    </xf>
    <xf numFmtId="0" fontId="24" fillId="0" borderId="0" xfId="0" applyFont="1" applyProtection="1">
      <protection hidden="1"/>
    </xf>
    <xf numFmtId="0" fontId="0" fillId="34" borderId="15" xfId="0" applyFill="1" applyBorder="1" applyProtection="1">
      <protection hidden="1"/>
    </xf>
    <xf numFmtId="0" fontId="0" fillId="34" borderId="16" xfId="0" applyFill="1" applyBorder="1" applyProtection="1">
      <protection hidden="1"/>
    </xf>
    <xf numFmtId="0" fontId="0" fillId="34" borderId="16" xfId="0" applyFill="1" applyBorder="1" applyAlignment="1" applyProtection="1">
      <alignment horizontal="justify"/>
      <protection hidden="1"/>
    </xf>
    <xf numFmtId="0" fontId="0" fillId="34" borderId="17" xfId="0" applyFill="1" applyBorder="1" applyProtection="1">
      <protection hidden="1"/>
    </xf>
    <xf numFmtId="0" fontId="21" fillId="34" borderId="13" xfId="0" applyFont="1" applyFill="1" applyBorder="1" applyProtection="1">
      <protection hidden="1"/>
    </xf>
    <xf numFmtId="0" fontId="21" fillId="34" borderId="0" xfId="0" applyFont="1" applyFill="1" applyProtection="1">
      <protection hidden="1"/>
    </xf>
    <xf numFmtId="0" fontId="21" fillId="34" borderId="14" xfId="0" applyFont="1" applyFill="1" applyBorder="1" applyProtection="1">
      <protection hidden="1"/>
    </xf>
    <xf numFmtId="0" fontId="25" fillId="34" borderId="0" xfId="0" applyFont="1" applyFill="1" applyProtection="1">
      <protection hidden="1"/>
    </xf>
    <xf numFmtId="0" fontId="24" fillId="34" borderId="0" xfId="0" applyFont="1" applyFill="1" applyProtection="1">
      <protection hidden="1"/>
    </xf>
    <xf numFmtId="0" fontId="26" fillId="34" borderId="0" xfId="0" applyFont="1" applyFill="1" applyProtection="1">
      <protection hidden="1"/>
    </xf>
    <xf numFmtId="0" fontId="21" fillId="34" borderId="0" xfId="0" applyFont="1" applyFill="1" applyAlignment="1" applyProtection="1">
      <alignment horizontal="right"/>
      <protection hidden="1"/>
    </xf>
    <xf numFmtId="0" fontId="21" fillId="34" borderId="15" xfId="0" applyFont="1" applyFill="1" applyBorder="1" applyProtection="1">
      <protection hidden="1"/>
    </xf>
    <xf numFmtId="0" fontId="21" fillId="34" borderId="16" xfId="0" applyFont="1" applyFill="1" applyBorder="1" applyProtection="1">
      <protection hidden="1"/>
    </xf>
    <xf numFmtId="0" fontId="24" fillId="34" borderId="16" xfId="0" applyFont="1" applyFill="1" applyBorder="1" applyProtection="1">
      <protection hidden="1"/>
    </xf>
    <xf numFmtId="0" fontId="21" fillId="34" borderId="17" xfId="0" applyFont="1" applyFill="1" applyBorder="1" applyProtection="1">
      <protection hidden="1"/>
    </xf>
    <xf numFmtId="0" fontId="21" fillId="34" borderId="10" xfId="0" applyFont="1" applyFill="1" applyBorder="1" applyProtection="1">
      <protection hidden="1"/>
    </xf>
    <xf numFmtId="0" fontId="21" fillId="34" borderId="11" xfId="0" applyFont="1" applyFill="1" applyBorder="1" applyProtection="1">
      <protection hidden="1"/>
    </xf>
    <xf numFmtId="0" fontId="21" fillId="34" borderId="12" xfId="0" applyFont="1" applyFill="1" applyBorder="1" applyProtection="1">
      <protection hidden="1"/>
    </xf>
    <xf numFmtId="0" fontId="28" fillId="34" borderId="0" xfId="0" applyFont="1" applyFill="1" applyProtection="1">
      <protection hidden="1"/>
    </xf>
    <xf numFmtId="0" fontId="0" fillId="0" borderId="18" xfId="0" applyBorder="1" applyAlignment="1" applyProtection="1">
      <alignment horizontal="left"/>
      <protection locked="0"/>
    </xf>
    <xf numFmtId="0" fontId="0" fillId="0" borderId="19" xfId="0" applyBorder="1" applyAlignment="1" applyProtection="1">
      <alignment horizontal="left"/>
      <protection locked="0"/>
    </xf>
    <xf numFmtId="0" fontId="0" fillId="0" borderId="20" xfId="0" applyBorder="1" applyAlignment="1" applyProtection="1">
      <alignment horizontal="left"/>
      <protection locked="0"/>
    </xf>
    <xf numFmtId="0" fontId="0" fillId="0" borderId="21" xfId="0" applyBorder="1" applyAlignment="1" applyProtection="1">
      <alignment horizontal="left"/>
      <protection locked="0"/>
    </xf>
    <xf numFmtId="0" fontId="0" fillId="0" borderId="22" xfId="0" applyBorder="1" applyAlignment="1" applyProtection="1">
      <alignment horizontal="left"/>
      <protection locked="0"/>
    </xf>
    <xf numFmtId="0" fontId="0" fillId="0" borderId="23" xfId="0" applyBorder="1" applyAlignment="1" applyProtection="1">
      <alignment horizontal="left"/>
      <protection locked="0"/>
    </xf>
    <xf numFmtId="0" fontId="0" fillId="0" borderId="24" xfId="0" applyBorder="1" applyAlignment="1" applyProtection="1">
      <alignment horizontal="left"/>
      <protection locked="0"/>
    </xf>
    <xf numFmtId="0" fontId="0" fillId="0" borderId="25" xfId="0" applyBorder="1" applyAlignment="1" applyProtection="1">
      <alignment horizontal="left"/>
      <protection locked="0"/>
    </xf>
    <xf numFmtId="0" fontId="0" fillId="0" borderId="0" xfId="0" applyAlignment="1" applyProtection="1">
      <alignment horizontal="left"/>
      <protection hidden="1"/>
    </xf>
    <xf numFmtId="0" fontId="21" fillId="0" borderId="0" xfId="0" applyFont="1" applyAlignment="1" applyProtection="1">
      <alignment vertical="center"/>
      <protection hidden="1"/>
    </xf>
    <xf numFmtId="0" fontId="0" fillId="0" borderId="0" xfId="0" applyAlignment="1" applyProtection="1">
      <alignment horizontal="left" vertical="center"/>
      <protection hidden="1"/>
    </xf>
    <xf numFmtId="0" fontId="0" fillId="0" borderId="0" xfId="0" applyAlignment="1" applyProtection="1">
      <alignment vertical="center"/>
      <protection hidden="1"/>
    </xf>
    <xf numFmtId="0" fontId="22" fillId="0" borderId="0" xfId="1" applyFont="1" applyAlignment="1" applyProtection="1">
      <alignment horizontal="right" vertical="center"/>
      <protection hidden="1"/>
    </xf>
    <xf numFmtId="0" fontId="0" fillId="0" borderId="0" xfId="0" applyAlignment="1" applyProtection="1">
      <alignment vertical="center" wrapText="1"/>
      <protection hidden="1"/>
    </xf>
    <xf numFmtId="0" fontId="21" fillId="0" borderId="0" xfId="0" applyFont="1" applyAlignment="1" applyProtection="1">
      <alignment horizontal="left" wrapText="1"/>
      <protection hidden="1"/>
    </xf>
    <xf numFmtId="0" fontId="0" fillId="0" borderId="26" xfId="0" applyBorder="1" applyAlignment="1" applyProtection="1">
      <alignment horizontal="left"/>
      <protection hidden="1"/>
    </xf>
    <xf numFmtId="0" fontId="22" fillId="0" borderId="0" xfId="0" applyFont="1" applyProtection="1">
      <protection hidden="1"/>
    </xf>
    <xf numFmtId="0" fontId="22" fillId="0" borderId="26" xfId="0" applyFont="1" applyBorder="1" applyProtection="1">
      <protection hidden="1"/>
    </xf>
    <xf numFmtId="0" fontId="21" fillId="0" borderId="0" xfId="0" applyFont="1" applyAlignment="1" applyProtection="1">
      <alignment wrapText="1"/>
      <protection hidden="1"/>
    </xf>
    <xf numFmtId="0" fontId="33" fillId="0" borderId="26" xfId="0" applyFont="1" applyBorder="1" applyAlignment="1" applyProtection="1">
      <alignment horizontal="left" wrapText="1"/>
      <protection hidden="1"/>
    </xf>
    <xf numFmtId="0" fontId="0" fillId="0" borderId="27" xfId="0" applyBorder="1" applyAlignment="1" applyProtection="1">
      <alignment horizontal="left"/>
      <protection hidden="1"/>
    </xf>
    <xf numFmtId="0" fontId="0" fillId="0" borderId="28" xfId="0" applyBorder="1" applyAlignment="1" applyProtection="1">
      <alignment horizontal="left"/>
      <protection hidden="1"/>
    </xf>
    <xf numFmtId="0" fontId="0" fillId="0" borderId="29" xfId="0" applyBorder="1" applyAlignment="1" applyProtection="1">
      <alignment horizontal="left"/>
      <protection hidden="1"/>
    </xf>
    <xf numFmtId="0" fontId="33" fillId="0" borderId="30" xfId="0" applyFont="1" applyBorder="1" applyAlignment="1" applyProtection="1">
      <alignment horizontal="left" wrapText="1"/>
      <protection hidden="1"/>
    </xf>
    <xf numFmtId="0" fontId="29" fillId="46" borderId="31" xfId="0" applyFont="1" applyFill="1" applyBorder="1" applyAlignment="1" applyProtection="1">
      <alignment horizontal="center" vertical="center" wrapText="1"/>
      <protection hidden="1"/>
    </xf>
    <xf numFmtId="0" fontId="29" fillId="46" borderId="32" xfId="0" applyFont="1" applyFill="1" applyBorder="1" applyAlignment="1" applyProtection="1">
      <alignment horizontal="center" vertical="center" wrapText="1"/>
      <protection hidden="1"/>
    </xf>
    <xf numFmtId="0" fontId="0" fillId="47" borderId="33" xfId="0" applyFill="1" applyBorder="1" applyAlignment="1" applyProtection="1">
      <alignment horizontal="left" vertical="center" wrapText="1"/>
      <protection hidden="1"/>
    </xf>
    <xf numFmtId="0" fontId="32" fillId="0" borderId="26" xfId="0" applyFont="1" applyBorder="1" applyAlignment="1">
      <alignment vertical="center"/>
    </xf>
    <xf numFmtId="0" fontId="29" fillId="48" borderId="30" xfId="0" applyFont="1" applyFill="1" applyBorder="1" applyAlignment="1" applyProtection="1">
      <alignment horizontal="center" vertical="center" wrapText="1"/>
      <protection hidden="1"/>
    </xf>
    <xf numFmtId="0" fontId="0" fillId="0" borderId="26" xfId="0" applyBorder="1" applyAlignment="1" applyProtection="1">
      <alignment horizontal="left" vertical="center"/>
      <protection locked="0"/>
    </xf>
    <xf numFmtId="0" fontId="29" fillId="49" borderId="26" xfId="0" applyFont="1" applyFill="1" applyBorder="1" applyAlignment="1" applyProtection="1">
      <alignment horizontal="center" vertical="center" wrapText="1"/>
      <protection hidden="1"/>
    </xf>
    <xf numFmtId="0" fontId="33" fillId="0" borderId="34" xfId="0" applyFont="1" applyBorder="1" applyAlignment="1" applyProtection="1">
      <alignment horizontal="left" wrapText="1"/>
      <protection hidden="1"/>
    </xf>
    <xf numFmtId="0" fontId="29" fillId="49" borderId="30" xfId="0" applyFont="1" applyFill="1" applyBorder="1" applyAlignment="1" applyProtection="1">
      <alignment horizontal="center" vertical="center" wrapText="1"/>
      <protection hidden="1"/>
    </xf>
    <xf numFmtId="0" fontId="0" fillId="0" borderId="35" xfId="0" applyBorder="1" applyAlignment="1" applyProtection="1">
      <alignment horizontal="left"/>
      <protection hidden="1"/>
    </xf>
    <xf numFmtId="0" fontId="0" fillId="0" borderId="36" xfId="0" applyBorder="1" applyAlignment="1" applyProtection="1">
      <alignment horizontal="left"/>
      <protection hidden="1"/>
    </xf>
    <xf numFmtId="0" fontId="0" fillId="0" borderId="30" xfId="0" applyBorder="1" applyAlignment="1" applyProtection="1">
      <alignment horizontal="left" vertical="center"/>
      <protection locked="0"/>
    </xf>
    <xf numFmtId="0" fontId="0" fillId="0" borderId="37" xfId="0" applyBorder="1" applyAlignment="1" applyProtection="1">
      <alignment horizontal="left" vertical="center"/>
      <protection locked="0"/>
    </xf>
    <xf numFmtId="0" fontId="29" fillId="48" borderId="36" xfId="0" applyFont="1" applyFill="1" applyBorder="1" applyAlignment="1" applyProtection="1">
      <alignment horizontal="center" vertical="center" wrapText="1"/>
      <protection hidden="1"/>
    </xf>
    <xf numFmtId="0" fontId="33" fillId="0" borderId="33" xfId="0" applyFont="1" applyBorder="1" applyAlignment="1" applyProtection="1">
      <alignment horizontal="left" wrapText="1"/>
      <protection hidden="1"/>
    </xf>
    <xf numFmtId="0" fontId="0" fillId="0" borderId="33" xfId="0" applyBorder="1" applyAlignment="1" applyProtection="1">
      <alignment horizontal="left" vertical="center"/>
      <protection locked="0"/>
    </xf>
    <xf numFmtId="0" fontId="29" fillId="49" borderId="36" xfId="0" applyFont="1" applyFill="1" applyBorder="1" applyAlignment="1" applyProtection="1">
      <alignment horizontal="center" vertical="center" wrapText="1"/>
      <protection hidden="1"/>
    </xf>
    <xf numFmtId="0" fontId="29" fillId="49" borderId="30" xfId="0" applyFont="1" applyFill="1" applyBorder="1" applyAlignment="1" applyProtection="1">
      <alignment vertical="center" wrapText="1"/>
      <protection hidden="1"/>
    </xf>
    <xf numFmtId="0" fontId="0" fillId="0" borderId="38" xfId="0" applyBorder="1" applyAlignment="1" applyProtection="1">
      <alignment horizontal="left" vertical="center"/>
      <protection locked="0"/>
    </xf>
    <xf numFmtId="0" fontId="32" fillId="0" borderId="39" xfId="0" applyFont="1" applyBorder="1" applyAlignment="1">
      <alignment vertical="center"/>
    </xf>
    <xf numFmtId="0" fontId="32" fillId="0" borderId="37" xfId="0" applyFont="1" applyBorder="1" applyAlignment="1">
      <alignment vertical="center"/>
    </xf>
    <xf numFmtId="0" fontId="32" fillId="0" borderId="35" xfId="0" applyFont="1" applyBorder="1" applyAlignment="1">
      <alignment vertical="center"/>
    </xf>
    <xf numFmtId="0" fontId="32" fillId="0" borderId="36" xfId="0" applyFont="1" applyBorder="1" applyAlignment="1">
      <alignment vertical="center"/>
    </xf>
    <xf numFmtId="0" fontId="32" fillId="0" borderId="30" xfId="0" applyFont="1" applyBorder="1" applyAlignment="1">
      <alignment vertical="center"/>
    </xf>
    <xf numFmtId="0" fontId="29" fillId="50" borderId="38" xfId="0" applyFont="1" applyFill="1" applyBorder="1" applyAlignment="1" applyProtection="1">
      <alignment vertical="center" wrapText="1"/>
      <protection hidden="1"/>
    </xf>
    <xf numFmtId="0" fontId="29" fillId="50" borderId="33" xfId="0" applyFont="1" applyFill="1" applyBorder="1" applyAlignment="1" applyProtection="1">
      <alignment vertical="center" wrapText="1"/>
      <protection hidden="1"/>
    </xf>
    <xf numFmtId="0" fontId="29" fillId="50" borderId="40" xfId="0" applyFont="1" applyFill="1" applyBorder="1" applyAlignment="1" applyProtection="1">
      <alignment vertical="center" wrapText="1"/>
      <protection hidden="1"/>
    </xf>
    <xf numFmtId="0" fontId="29" fillId="50" borderId="41" xfId="0" applyFont="1" applyFill="1" applyBorder="1" applyAlignment="1" applyProtection="1">
      <alignment vertical="center"/>
      <protection hidden="1"/>
    </xf>
    <xf numFmtId="0" fontId="29" fillId="50" borderId="42" xfId="0" applyFont="1" applyFill="1" applyBorder="1" applyAlignment="1" applyProtection="1">
      <alignment vertical="center" wrapText="1"/>
      <protection hidden="1"/>
    </xf>
    <xf numFmtId="0" fontId="29" fillId="50" borderId="43" xfId="0" applyFont="1" applyFill="1" applyBorder="1" applyAlignment="1" applyProtection="1">
      <alignment vertical="center" wrapText="1"/>
      <protection hidden="1"/>
    </xf>
    <xf numFmtId="0" fontId="29" fillId="50" borderId="44" xfId="0" applyFont="1" applyFill="1" applyBorder="1" applyAlignment="1" applyProtection="1">
      <alignment vertical="center" wrapText="1"/>
      <protection hidden="1"/>
    </xf>
    <xf numFmtId="0" fontId="29" fillId="50" borderId="45" xfId="0" applyFont="1" applyFill="1" applyBorder="1" applyAlignment="1" applyProtection="1">
      <alignment vertical="center"/>
      <protection hidden="1"/>
    </xf>
    <xf numFmtId="0" fontId="22" fillId="0" borderId="0" xfId="0" applyFont="1" applyAlignment="1" applyProtection="1">
      <alignment horizontal="center" vertical="center" wrapText="1"/>
      <protection hidden="1"/>
    </xf>
    <xf numFmtId="0" fontId="22" fillId="0" borderId="0" xfId="0" applyFont="1" applyAlignment="1" applyProtection="1">
      <alignment vertical="center"/>
      <protection hidden="1"/>
    </xf>
    <xf numFmtId="0" fontId="0" fillId="0" borderId="46" xfId="0" applyBorder="1" applyAlignment="1" applyProtection="1">
      <alignment horizontal="left"/>
      <protection hidden="1"/>
    </xf>
    <xf numFmtId="0" fontId="0" fillId="47" borderId="34" xfId="0" applyFill="1" applyBorder="1" applyAlignment="1" applyProtection="1">
      <alignment horizontal="left" vertical="center" wrapText="1"/>
      <protection hidden="1"/>
    </xf>
    <xf numFmtId="0" fontId="0" fillId="0" borderId="47" xfId="0" applyBorder="1" applyAlignment="1" applyProtection="1">
      <alignment horizontal="left"/>
      <protection hidden="1"/>
    </xf>
    <xf numFmtId="0" fontId="22" fillId="51" borderId="48" xfId="0" applyFont="1" applyFill="1" applyBorder="1" applyAlignment="1" applyProtection="1">
      <alignment horizontal="center" vertical="center" wrapText="1"/>
      <protection hidden="1"/>
    </xf>
    <xf numFmtId="0" fontId="22" fillId="51" borderId="49" xfId="0" applyFont="1" applyFill="1" applyBorder="1" applyAlignment="1" applyProtection="1">
      <alignment horizontal="center" vertical="center" wrapText="1"/>
      <protection hidden="1"/>
    </xf>
    <xf numFmtId="0" fontId="0" fillId="0" borderId="39" xfId="0" applyBorder="1" applyAlignment="1" applyProtection="1">
      <alignment horizontal="left"/>
      <protection hidden="1"/>
    </xf>
    <xf numFmtId="0" fontId="33" fillId="0" borderId="37" xfId="0" applyFont="1" applyBorder="1" applyAlignment="1" applyProtection="1">
      <alignment horizontal="left" wrapText="1"/>
      <protection hidden="1"/>
    </xf>
    <xf numFmtId="0" fontId="29" fillId="49" borderId="50" xfId="0" applyFont="1" applyFill="1" applyBorder="1" applyAlignment="1" applyProtection="1">
      <alignment vertical="center"/>
      <protection hidden="1"/>
    </xf>
    <xf numFmtId="0" fontId="0" fillId="0" borderId="26" xfId="0" applyBorder="1" applyAlignment="1" applyProtection="1">
      <alignment horizontal="left" vertical="center"/>
      <protection hidden="1"/>
    </xf>
    <xf numFmtId="0" fontId="0" fillId="0" borderId="51" xfId="0" applyBorder="1" applyAlignment="1" applyProtection="1">
      <alignment horizontal="left" vertical="center"/>
      <protection locked="0"/>
    </xf>
    <xf numFmtId="0" fontId="21" fillId="0" borderId="0" xfId="0" applyFont="1" applyAlignment="1" applyProtection="1">
      <alignment vertical="center" wrapText="1"/>
      <protection hidden="1"/>
    </xf>
    <xf numFmtId="0" fontId="31" fillId="0" borderId="52" xfId="0" applyFont="1" applyBorder="1" applyAlignment="1" applyProtection="1">
      <alignment horizontal="left" vertical="center"/>
      <protection locked="0"/>
    </xf>
    <xf numFmtId="0" fontId="31" fillId="0" borderId="53" xfId="0" applyFont="1" applyBorder="1" applyAlignment="1" applyProtection="1">
      <alignment vertical="center"/>
      <protection hidden="1"/>
    </xf>
    <xf numFmtId="0" fontId="31" fillId="0" borderId="54" xfId="0" applyFont="1" applyBorder="1" applyAlignment="1" applyProtection="1">
      <alignment vertical="center"/>
      <protection hidden="1"/>
    </xf>
    <xf numFmtId="166" fontId="0" fillId="0" borderId="0" xfId="1" applyNumberFormat="1" applyFont="1" applyAlignment="1" applyProtection="1">
      <alignment horizontal="right" vertical="center"/>
      <protection hidden="1"/>
    </xf>
    <xf numFmtId="2" fontId="0" fillId="0" borderId="0" xfId="0" applyNumberFormat="1" applyAlignment="1" applyProtection="1">
      <alignment vertical="center"/>
      <protection hidden="1"/>
    </xf>
    <xf numFmtId="167" fontId="22" fillId="52" borderId="20" xfId="67" applyNumberFormat="1" applyFont="1" applyFill="1" applyBorder="1" applyAlignment="1" applyProtection="1">
      <alignment vertical="center"/>
      <protection hidden="1"/>
    </xf>
    <xf numFmtId="0" fontId="29" fillId="46" borderId="55" xfId="1" applyFont="1" applyFill="1" applyBorder="1" applyAlignment="1" applyProtection="1">
      <alignment horizontal="left" vertical="center"/>
      <protection hidden="1"/>
    </xf>
    <xf numFmtId="167" fontId="22" fillId="52" borderId="56" xfId="67" applyNumberFormat="1" applyFont="1" applyFill="1" applyBorder="1" applyAlignment="1" applyProtection="1">
      <alignment vertical="center"/>
      <protection hidden="1"/>
    </xf>
    <xf numFmtId="167" fontId="22" fillId="52" borderId="57" xfId="67" applyNumberFormat="1" applyFont="1" applyFill="1" applyBorder="1" applyAlignment="1" applyProtection="1">
      <alignment vertical="center"/>
      <protection hidden="1"/>
    </xf>
    <xf numFmtId="0" fontId="29" fillId="53" borderId="28" xfId="1" applyFont="1" applyFill="1" applyBorder="1" applyAlignment="1" applyProtection="1">
      <alignment horizontal="left" vertical="center"/>
      <protection hidden="1"/>
    </xf>
    <xf numFmtId="167" fontId="22" fillId="52" borderId="58" xfId="67" applyNumberFormat="1" applyFont="1" applyFill="1" applyBorder="1" applyAlignment="1" applyProtection="1">
      <alignment vertical="center"/>
      <protection hidden="1"/>
    </xf>
    <xf numFmtId="0" fontId="29" fillId="48" borderId="28" xfId="1" applyFont="1" applyFill="1" applyBorder="1" applyAlignment="1" applyProtection="1">
      <alignment horizontal="left" vertical="center"/>
      <protection hidden="1"/>
    </xf>
    <xf numFmtId="0" fontId="29" fillId="49" borderId="28" xfId="1" applyFont="1" applyFill="1" applyBorder="1" applyAlignment="1" applyProtection="1">
      <alignment horizontal="left" vertical="center"/>
      <protection hidden="1"/>
    </xf>
    <xf numFmtId="0" fontId="29" fillId="50" borderId="28" xfId="1" applyFont="1" applyFill="1" applyBorder="1" applyAlignment="1" applyProtection="1">
      <alignment horizontal="left" vertical="center"/>
      <protection hidden="1"/>
    </xf>
    <xf numFmtId="0" fontId="22" fillId="54" borderId="29" xfId="1" applyFont="1" applyFill="1" applyBorder="1" applyAlignment="1" applyProtection="1">
      <alignment horizontal="left" vertical="center" wrapText="1"/>
      <protection hidden="1"/>
    </xf>
    <xf numFmtId="167" fontId="22" fillId="0" borderId="32" xfId="67" applyNumberFormat="1" applyFont="1" applyFill="1" applyBorder="1" applyAlignment="1" applyProtection="1">
      <alignment vertical="center"/>
      <protection hidden="1"/>
    </xf>
    <xf numFmtId="167" fontId="22" fillId="0" borderId="59" xfId="67" applyNumberFormat="1" applyFont="1" applyFill="1" applyBorder="1" applyAlignment="1" applyProtection="1">
      <alignment vertical="center"/>
      <protection hidden="1"/>
    </xf>
    <xf numFmtId="167" fontId="22" fillId="52" borderId="26" xfId="67" applyNumberFormat="1" applyFont="1" applyFill="1" applyBorder="1" applyAlignment="1" applyProtection="1">
      <alignment vertical="center"/>
      <protection hidden="1"/>
    </xf>
    <xf numFmtId="0" fontId="22" fillId="0" borderId="0" xfId="0" applyFont="1" applyAlignment="1" applyProtection="1">
      <alignment horizontal="center"/>
      <protection hidden="1"/>
    </xf>
    <xf numFmtId="0" fontId="22" fillId="54" borderId="15" xfId="1" applyFont="1" applyFill="1" applyBorder="1" applyAlignment="1" applyProtection="1">
      <alignment vertical="center" wrapText="1"/>
      <protection hidden="1"/>
    </xf>
    <xf numFmtId="0" fontId="22" fillId="43" borderId="39" xfId="0" applyFont="1" applyFill="1" applyBorder="1" applyAlignment="1" applyProtection="1">
      <alignment vertical="center"/>
      <protection hidden="1"/>
    </xf>
    <xf numFmtId="0" fontId="0" fillId="52" borderId="26" xfId="0" applyFill="1" applyBorder="1" applyAlignment="1" applyProtection="1">
      <alignment horizontal="left" wrapText="1"/>
      <protection hidden="1"/>
    </xf>
    <xf numFmtId="0" fontId="32" fillId="0" borderId="26" xfId="83" applyFont="1" applyBorder="1" applyAlignment="1" applyProtection="1">
      <alignment vertical="center"/>
      <protection hidden="1"/>
    </xf>
    <xf numFmtId="0" fontId="32" fillId="0" borderId="60" xfId="0" applyFont="1" applyBorder="1" applyAlignment="1" applyProtection="1">
      <alignment vertical="center"/>
      <protection hidden="1"/>
    </xf>
    <xf numFmtId="0" fontId="0" fillId="0" borderId="61" xfId="0" applyBorder="1" applyAlignment="1" applyProtection="1">
      <alignment horizontal="left" vertical="center"/>
      <protection locked="0" hidden="1"/>
    </xf>
    <xf numFmtId="0" fontId="0" fillId="0" borderId="34" xfId="0" applyBorder="1" applyAlignment="1" applyProtection="1">
      <alignment horizontal="left" vertical="center"/>
      <protection locked="0" hidden="1"/>
    </xf>
    <xf numFmtId="0" fontId="0" fillId="0" borderId="19" xfId="0" applyBorder="1" applyAlignment="1" applyProtection="1">
      <alignment horizontal="left" vertical="center"/>
      <protection locked="0" hidden="1"/>
    </xf>
    <xf numFmtId="0" fontId="0" fillId="0" borderId="18" xfId="0" applyBorder="1" applyAlignment="1" applyProtection="1">
      <alignment horizontal="left" vertical="center"/>
      <protection locked="0" hidden="1"/>
    </xf>
    <xf numFmtId="0" fontId="0" fillId="0" borderId="21" xfId="0" applyBorder="1" applyAlignment="1" applyProtection="1">
      <alignment horizontal="left" vertical="center"/>
      <protection locked="0" hidden="1"/>
    </xf>
    <xf numFmtId="0" fontId="0" fillId="0" borderId="26" xfId="0" applyBorder="1" applyAlignment="1" applyProtection="1">
      <alignment horizontal="left" vertical="center"/>
      <protection locked="0" hidden="1"/>
    </xf>
    <xf numFmtId="0" fontId="0" fillId="0" borderId="20" xfId="0" applyBorder="1" applyAlignment="1" applyProtection="1">
      <alignment horizontal="left" vertical="center"/>
      <protection locked="0" hidden="1"/>
    </xf>
    <xf numFmtId="0" fontId="0" fillId="0" borderId="25" xfId="0" applyBorder="1" applyAlignment="1" applyProtection="1">
      <alignment horizontal="left" vertical="center"/>
      <protection locked="0" hidden="1"/>
    </xf>
    <xf numFmtId="0" fontId="0" fillId="0" borderId="30" xfId="0" applyBorder="1" applyAlignment="1" applyProtection="1">
      <alignment horizontal="left" vertical="center"/>
      <protection locked="0" hidden="1"/>
    </xf>
    <xf numFmtId="0" fontId="0" fillId="0" borderId="62" xfId="0" applyBorder="1" applyAlignment="1" applyProtection="1">
      <alignment horizontal="left" vertical="center"/>
      <protection locked="0" hidden="1"/>
    </xf>
    <xf numFmtId="0" fontId="0" fillId="0" borderId="32" xfId="0" applyBorder="1" applyAlignment="1" applyProtection="1">
      <alignment horizontal="left" vertical="center"/>
      <protection locked="0" hidden="1"/>
    </xf>
    <xf numFmtId="0" fontId="0" fillId="0" borderId="63" xfId="0" applyBorder="1" applyAlignment="1" applyProtection="1">
      <alignment horizontal="left" vertical="center"/>
      <protection locked="0" hidden="1"/>
    </xf>
    <xf numFmtId="0" fontId="0" fillId="0" borderId="64" xfId="0" applyBorder="1" applyAlignment="1" applyProtection="1">
      <alignment horizontal="left"/>
      <protection locked="0" hidden="1"/>
    </xf>
    <xf numFmtId="0" fontId="0" fillId="0" borderId="65" xfId="0" applyBorder="1" applyAlignment="1" applyProtection="1">
      <alignment horizontal="left"/>
      <protection locked="0" hidden="1"/>
    </xf>
    <xf numFmtId="0" fontId="0" fillId="0" borderId="66" xfId="0" applyBorder="1" applyAlignment="1" applyProtection="1">
      <alignment horizontal="left"/>
      <protection locked="0" hidden="1"/>
    </xf>
    <xf numFmtId="0" fontId="32" fillId="0" borderId="26" xfId="0" applyFont="1" applyBorder="1" applyAlignment="1" applyProtection="1">
      <alignment vertical="center"/>
      <protection hidden="1"/>
    </xf>
    <xf numFmtId="0" fontId="0" fillId="0" borderId="68" xfId="0" applyBorder="1" applyAlignment="1" applyProtection="1">
      <alignment horizontal="left" vertical="center"/>
      <protection locked="0" hidden="1"/>
    </xf>
    <xf numFmtId="0" fontId="33" fillId="0" borderId="68" xfId="0" applyFont="1" applyBorder="1" applyAlignment="1" applyProtection="1">
      <alignment horizontal="left" vertical="center" wrapText="1"/>
      <protection hidden="1"/>
    </xf>
    <xf numFmtId="0" fontId="31" fillId="0" borderId="26" xfId="0" applyFont="1" applyBorder="1" applyAlignment="1" applyProtection="1">
      <alignment vertical="center"/>
      <protection hidden="1"/>
    </xf>
    <xf numFmtId="0" fontId="32" fillId="0" borderId="0" xfId="82" applyFont="1" applyAlignment="1" applyProtection="1">
      <alignment vertical="center"/>
      <protection hidden="1"/>
    </xf>
    <xf numFmtId="0" fontId="31" fillId="0" borderId="0" xfId="82" applyFont="1" applyAlignment="1" applyProtection="1">
      <alignment vertical="center"/>
      <protection hidden="1"/>
    </xf>
    <xf numFmtId="0" fontId="32" fillId="0" borderId="69" xfId="0" applyFont="1" applyBorder="1" applyAlignment="1" applyProtection="1">
      <alignment vertical="center"/>
      <protection hidden="1"/>
    </xf>
    <xf numFmtId="0" fontId="32" fillId="0" borderId="35" xfId="0" applyFont="1" applyBorder="1" applyAlignment="1" applyProtection="1">
      <alignment vertical="center"/>
      <protection hidden="1"/>
    </xf>
    <xf numFmtId="0" fontId="32" fillId="0" borderId="36" xfId="0" applyFont="1" applyBorder="1" applyAlignment="1" applyProtection="1">
      <alignment vertical="center"/>
      <protection hidden="1"/>
    </xf>
    <xf numFmtId="0" fontId="0" fillId="0" borderId="38" xfId="0" applyBorder="1" applyAlignment="1" applyProtection="1">
      <alignment horizontal="left"/>
      <protection locked="0" hidden="1"/>
    </xf>
    <xf numFmtId="0" fontId="0" fillId="0" borderId="33" xfId="0" applyBorder="1" applyAlignment="1" applyProtection="1">
      <alignment horizontal="left" vertical="center"/>
      <protection locked="0" hidden="1"/>
    </xf>
    <xf numFmtId="0" fontId="0" fillId="0" borderId="51" xfId="0" applyBorder="1" applyAlignment="1" applyProtection="1">
      <alignment horizontal="left"/>
      <protection locked="0" hidden="1"/>
    </xf>
    <xf numFmtId="0" fontId="31" fillId="0" borderId="34" xfId="0" applyFont="1" applyBorder="1" applyProtection="1">
      <protection locked="0" hidden="1"/>
    </xf>
    <xf numFmtId="0" fontId="31" fillId="0" borderId="26" xfId="0" applyFont="1" applyBorder="1" applyProtection="1">
      <protection locked="0" hidden="1"/>
    </xf>
    <xf numFmtId="0" fontId="0" fillId="0" borderId="70" xfId="0" applyBorder="1" applyAlignment="1" applyProtection="1">
      <alignment horizontal="left" vertical="center"/>
      <protection locked="0" hidden="1"/>
    </xf>
    <xf numFmtId="0" fontId="31" fillId="0" borderId="30" xfId="0" applyFont="1" applyBorder="1" applyProtection="1">
      <protection locked="0" hidden="1"/>
    </xf>
    <xf numFmtId="0" fontId="0" fillId="0" borderId="37" xfId="0" applyBorder="1" applyAlignment="1" applyProtection="1">
      <alignment horizontal="left" vertical="center"/>
      <protection locked="0" hidden="1"/>
    </xf>
    <xf numFmtId="0" fontId="0" fillId="0" borderId="71" xfId="0" applyBorder="1" applyAlignment="1" applyProtection="1">
      <alignment horizontal="left" vertical="center"/>
      <protection locked="0" hidden="1"/>
    </xf>
    <xf numFmtId="0" fontId="0" fillId="0" borderId="52" xfId="0" applyBorder="1" applyProtection="1">
      <protection locked="0" hidden="1"/>
    </xf>
    <xf numFmtId="0" fontId="0" fillId="0" borderId="53" xfId="0" applyBorder="1" applyProtection="1">
      <protection locked="0" hidden="1"/>
    </xf>
    <xf numFmtId="0" fontId="0" fillId="0" borderId="54" xfId="0" applyBorder="1" applyProtection="1">
      <protection locked="0" hidden="1"/>
    </xf>
    <xf numFmtId="0" fontId="0" fillId="0" borderId="39" xfId="0" applyBorder="1" applyAlignment="1" applyProtection="1">
      <alignment horizontal="left" vertical="center"/>
      <protection hidden="1"/>
    </xf>
    <xf numFmtId="0" fontId="0" fillId="0" borderId="35" xfId="0" applyBorder="1" applyAlignment="1" applyProtection="1">
      <alignment horizontal="left" vertical="center"/>
      <protection hidden="1"/>
    </xf>
    <xf numFmtId="0" fontId="0" fillId="0" borderId="36" xfId="0" applyBorder="1" applyAlignment="1" applyProtection="1">
      <alignment horizontal="left" vertical="center"/>
      <protection hidden="1"/>
    </xf>
    <xf numFmtId="0" fontId="31" fillId="0" borderId="37" xfId="0" applyFont="1" applyBorder="1" applyAlignment="1" applyProtection="1">
      <alignment vertical="center"/>
      <protection locked="0" hidden="1"/>
    </xf>
    <xf numFmtId="0" fontId="31" fillId="0" borderId="34" xfId="0" applyFont="1" applyBorder="1" applyAlignment="1" applyProtection="1">
      <alignment vertical="center"/>
      <protection locked="0" hidden="1"/>
    </xf>
    <xf numFmtId="0" fontId="31" fillId="0" borderId="33" xfId="0" applyFont="1" applyBorder="1" applyAlignment="1" applyProtection="1">
      <alignment vertical="center"/>
      <protection locked="0" hidden="1"/>
    </xf>
    <xf numFmtId="0" fontId="31" fillId="0" borderId="37" xfId="0" applyFont="1" applyBorder="1" applyProtection="1">
      <protection locked="0" hidden="1"/>
    </xf>
    <xf numFmtId="0" fontId="31" fillId="0" borderId="52" xfId="0" applyFont="1" applyBorder="1" applyProtection="1">
      <protection locked="0" hidden="1"/>
    </xf>
    <xf numFmtId="0" fontId="31" fillId="0" borderId="53" xfId="0" applyFont="1" applyBorder="1" applyProtection="1">
      <protection locked="0" hidden="1"/>
    </xf>
    <xf numFmtId="0" fontId="31" fillId="0" borderId="54" xfId="0" applyFont="1" applyBorder="1" applyProtection="1">
      <protection locked="0" hidden="1"/>
    </xf>
    <xf numFmtId="0" fontId="32" fillId="0" borderId="0" xfId="83" applyFont="1" applyAlignment="1" applyProtection="1">
      <alignment horizontal="center" vertical="center"/>
      <protection hidden="1"/>
    </xf>
    <xf numFmtId="0" fontId="32" fillId="0" borderId="0" xfId="83" applyFont="1" applyAlignment="1" applyProtection="1">
      <alignment horizontal="justify" vertical="center" wrapText="1"/>
      <protection hidden="1"/>
    </xf>
    <xf numFmtId="0" fontId="32" fillId="0" borderId="0" xfId="83" applyFont="1" applyAlignment="1" applyProtection="1">
      <alignment vertical="center"/>
      <protection hidden="1"/>
    </xf>
    <xf numFmtId="0" fontId="36" fillId="47" borderId="26" xfId="83" applyFont="1" applyFill="1" applyBorder="1" applyAlignment="1" applyProtection="1">
      <alignment horizontal="center" vertical="center" wrapText="1"/>
      <protection hidden="1"/>
    </xf>
    <xf numFmtId="0" fontId="36" fillId="47" borderId="26" xfId="83" applyFont="1" applyFill="1" applyBorder="1" applyAlignment="1" applyProtection="1">
      <alignment horizontal="justify" vertical="center" wrapText="1"/>
      <protection hidden="1"/>
    </xf>
    <xf numFmtId="168" fontId="22" fillId="47" borderId="26" xfId="83" applyNumberFormat="1" applyFont="1" applyFill="1" applyBorder="1" applyAlignment="1" applyProtection="1">
      <alignment horizontal="center" vertical="center" wrapText="1"/>
      <protection hidden="1"/>
    </xf>
    <xf numFmtId="2" fontId="22" fillId="47" borderId="26" xfId="84" applyNumberFormat="1" applyFont="1" applyFill="1" applyBorder="1" applyAlignment="1" applyProtection="1">
      <alignment horizontal="center" vertical="center" wrapText="1"/>
      <protection hidden="1"/>
    </xf>
    <xf numFmtId="168" fontId="32" fillId="55" borderId="26" xfId="103" applyNumberFormat="1" applyFont="1" applyFill="1" applyBorder="1" applyAlignment="1" applyProtection="1">
      <alignment vertical="center"/>
      <protection hidden="1"/>
    </xf>
    <xf numFmtId="2" fontId="32" fillId="56" borderId="26" xfId="104" applyNumberFormat="1" applyFont="1" applyFill="1" applyBorder="1" applyAlignment="1" applyProtection="1">
      <alignment vertical="center"/>
      <protection hidden="1"/>
    </xf>
    <xf numFmtId="168" fontId="32" fillId="56" borderId="26" xfId="104" applyNumberFormat="1" applyFont="1" applyFill="1" applyBorder="1" applyAlignment="1" applyProtection="1">
      <alignment vertical="center"/>
      <protection hidden="1"/>
    </xf>
    <xf numFmtId="4" fontId="32" fillId="55" borderId="26" xfId="103" applyNumberFormat="1" applyFont="1" applyFill="1" applyBorder="1" applyAlignment="1" applyProtection="1">
      <alignment vertical="center"/>
      <protection hidden="1"/>
    </xf>
    <xf numFmtId="0" fontId="32" fillId="0" borderId="26" xfId="83" applyFont="1" applyBorder="1" applyAlignment="1" applyProtection="1">
      <alignment horizontal="justify" vertical="center" wrapText="1"/>
      <protection hidden="1"/>
    </xf>
    <xf numFmtId="168" fontId="32" fillId="0" borderId="0" xfId="83" applyNumberFormat="1" applyFont="1" applyAlignment="1" applyProtection="1">
      <alignment vertical="center"/>
      <protection hidden="1"/>
    </xf>
    <xf numFmtId="168" fontId="31" fillId="0" borderId="0" xfId="83" applyNumberFormat="1" applyFont="1" applyAlignment="1" applyProtection="1">
      <alignment vertical="center"/>
      <protection hidden="1"/>
    </xf>
    <xf numFmtId="2" fontId="31" fillId="0" borderId="0" xfId="83" applyNumberFormat="1" applyFont="1" applyAlignment="1" applyProtection="1">
      <alignment vertical="center"/>
      <protection hidden="1"/>
    </xf>
    <xf numFmtId="168" fontId="36" fillId="57" borderId="53" xfId="102" applyNumberFormat="1" applyFont="1" applyFill="1" applyBorder="1" applyAlignment="1" applyProtection="1">
      <alignment vertical="center"/>
      <protection hidden="1"/>
    </xf>
    <xf numFmtId="168" fontId="36" fillId="57" borderId="54" xfId="102" applyNumberFormat="1" applyFont="1" applyFill="1" applyBorder="1" applyAlignment="1" applyProtection="1">
      <alignment vertical="center"/>
      <protection hidden="1"/>
    </xf>
    <xf numFmtId="0" fontId="0" fillId="52" borderId="70" xfId="0" applyFill="1" applyBorder="1" applyAlignment="1" applyProtection="1">
      <alignment horizontal="justify" vertical="top" wrapText="1"/>
      <protection hidden="1"/>
    </xf>
    <xf numFmtId="0" fontId="0" fillId="52" borderId="34" xfId="0" applyFill="1" applyBorder="1" applyAlignment="1" applyProtection="1">
      <alignment horizontal="justify" vertical="top" wrapText="1"/>
      <protection hidden="1"/>
    </xf>
    <xf numFmtId="0" fontId="31" fillId="0" borderId="52" xfId="0" applyFont="1" applyBorder="1" applyAlignment="1" applyProtection="1">
      <alignment vertical="center"/>
      <protection hidden="1"/>
    </xf>
    <xf numFmtId="168" fontId="22" fillId="0" borderId="72" xfId="0" applyNumberFormat="1" applyFont="1" applyBorder="1" applyAlignment="1" applyProtection="1">
      <alignment vertical="center"/>
      <protection hidden="1"/>
    </xf>
    <xf numFmtId="166" fontId="31" fillId="0" borderId="0" xfId="1" applyNumberFormat="1" applyAlignment="1" applyProtection="1">
      <alignment horizontal="right" vertical="center"/>
      <protection hidden="1"/>
    </xf>
    <xf numFmtId="0" fontId="22" fillId="51" borderId="70" xfId="0" applyFont="1" applyFill="1" applyBorder="1" applyAlignment="1" applyProtection="1">
      <alignment horizontal="center" vertical="center" wrapText="1"/>
      <protection hidden="1"/>
    </xf>
    <xf numFmtId="0" fontId="22" fillId="51" borderId="73" xfId="0" applyFont="1" applyFill="1" applyBorder="1" applyAlignment="1" applyProtection="1">
      <alignment horizontal="center" vertical="center" wrapText="1"/>
      <protection hidden="1"/>
    </xf>
    <xf numFmtId="0" fontId="22" fillId="51" borderId="74" xfId="0" applyFont="1" applyFill="1" applyBorder="1" applyAlignment="1" applyProtection="1">
      <alignment horizontal="center" vertical="center" wrapText="1"/>
      <protection hidden="1"/>
    </xf>
    <xf numFmtId="167" fontId="22" fillId="52" borderId="37" xfId="67" applyNumberFormat="1" applyFont="1" applyFill="1" applyBorder="1" applyAlignment="1" applyProtection="1">
      <alignment vertical="center"/>
      <protection hidden="1"/>
    </xf>
    <xf numFmtId="167" fontId="22" fillId="52" borderId="30" xfId="67" applyNumberFormat="1" applyFont="1" applyFill="1" applyBorder="1" applyAlignment="1" applyProtection="1">
      <alignment vertical="center"/>
      <protection hidden="1"/>
    </xf>
    <xf numFmtId="167" fontId="22" fillId="52" borderId="52" xfId="67" applyNumberFormat="1" applyFont="1" applyFill="1" applyBorder="1" applyAlignment="1" applyProtection="1">
      <alignment vertical="center"/>
      <protection hidden="1"/>
    </xf>
    <xf numFmtId="167" fontId="22" fillId="52" borderId="53" xfId="67" applyNumberFormat="1" applyFont="1" applyFill="1" applyBorder="1" applyAlignment="1" applyProtection="1">
      <alignment vertical="center"/>
      <protection hidden="1"/>
    </xf>
    <xf numFmtId="167" fontId="22" fillId="52" borderId="54" xfId="67" applyNumberFormat="1" applyFont="1" applyFill="1" applyBorder="1" applyAlignment="1" applyProtection="1">
      <alignment vertical="center"/>
      <protection hidden="1"/>
    </xf>
    <xf numFmtId="0" fontId="22" fillId="51" borderId="75" xfId="0" applyFont="1" applyFill="1" applyBorder="1" applyAlignment="1" applyProtection="1">
      <alignment horizontal="center" vertical="center" wrapText="1"/>
      <protection hidden="1"/>
    </xf>
    <xf numFmtId="167" fontId="22" fillId="52" borderId="76" xfId="67" applyNumberFormat="1" applyFont="1" applyFill="1" applyBorder="1" applyAlignment="1" applyProtection="1">
      <alignment vertical="center"/>
      <protection hidden="1"/>
    </xf>
    <xf numFmtId="167" fontId="22" fillId="52" borderId="60" xfId="67" applyNumberFormat="1" applyFont="1" applyFill="1" applyBorder="1" applyAlignment="1" applyProtection="1">
      <alignment vertical="center"/>
      <protection hidden="1"/>
    </xf>
    <xf numFmtId="167" fontId="22" fillId="52" borderId="77" xfId="67" applyNumberFormat="1" applyFont="1" applyFill="1" applyBorder="1" applyAlignment="1" applyProtection="1">
      <alignment vertical="center"/>
      <protection hidden="1"/>
    </xf>
    <xf numFmtId="168" fontId="36" fillId="57" borderId="52" xfId="102" applyNumberFormat="1" applyFont="1" applyFill="1" applyBorder="1" applyAlignment="1" applyProtection="1">
      <alignment vertical="center"/>
      <protection hidden="1"/>
    </xf>
    <xf numFmtId="0" fontId="22" fillId="47" borderId="78" xfId="1" applyFont="1" applyFill="1" applyBorder="1" applyAlignment="1" applyProtection="1">
      <alignment horizontal="left" vertical="center"/>
      <protection hidden="1"/>
    </xf>
    <xf numFmtId="0" fontId="22" fillId="47" borderId="79" xfId="1" applyFont="1" applyFill="1" applyBorder="1" applyAlignment="1" applyProtection="1">
      <alignment horizontal="left" vertical="center"/>
      <protection hidden="1"/>
    </xf>
    <xf numFmtId="0" fontId="22" fillId="43" borderId="81" xfId="0" applyFont="1" applyFill="1" applyBorder="1" applyAlignment="1" applyProtection="1">
      <alignment vertical="center" wrapText="1"/>
      <protection hidden="1"/>
    </xf>
    <xf numFmtId="0" fontId="31" fillId="0" borderId="82" xfId="0" applyFont="1" applyBorder="1" applyAlignment="1" applyProtection="1">
      <alignment vertical="center"/>
      <protection locked="0"/>
    </xf>
    <xf numFmtId="0" fontId="24" fillId="0" borderId="0" xfId="0" applyFont="1"/>
    <xf numFmtId="167" fontId="31" fillId="52" borderId="39" xfId="67" applyNumberFormat="1" applyFill="1" applyBorder="1" applyAlignment="1" applyProtection="1">
      <alignment vertical="center"/>
      <protection hidden="1"/>
    </xf>
    <xf numFmtId="167" fontId="31" fillId="52" borderId="37" xfId="67" applyNumberFormat="1" applyFill="1" applyBorder="1" applyAlignment="1" applyProtection="1">
      <alignment vertical="center"/>
      <protection hidden="1"/>
    </xf>
    <xf numFmtId="167" fontId="31" fillId="52" borderId="35" xfId="67" applyNumberFormat="1" applyFill="1" applyBorder="1" applyAlignment="1" applyProtection="1">
      <alignment vertical="center"/>
      <protection hidden="1"/>
    </xf>
    <xf numFmtId="167" fontId="31" fillId="52" borderId="26" xfId="67" applyNumberFormat="1" applyFill="1" applyBorder="1" applyAlignment="1" applyProtection="1">
      <alignment vertical="center"/>
      <protection hidden="1"/>
    </xf>
    <xf numFmtId="167" fontId="31" fillId="52" borderId="36" xfId="67" applyNumberFormat="1" applyFill="1" applyBorder="1" applyAlignment="1" applyProtection="1">
      <alignment vertical="center"/>
      <protection hidden="1"/>
    </xf>
    <xf numFmtId="167" fontId="31" fillId="52" borderId="30" xfId="67" applyNumberFormat="1" applyFill="1" applyBorder="1" applyAlignment="1" applyProtection="1">
      <alignment vertical="center"/>
      <protection hidden="1"/>
    </xf>
    <xf numFmtId="0" fontId="31" fillId="0" borderId="34" xfId="1" applyBorder="1" applyAlignment="1">
      <alignment horizontal="left"/>
    </xf>
    <xf numFmtId="0" fontId="31" fillId="0" borderId="83" xfId="0" applyFont="1" applyBorder="1" applyAlignment="1" applyProtection="1">
      <alignment horizontal="left"/>
      <protection locked="0"/>
    </xf>
    <xf numFmtId="0" fontId="31" fillId="0" borderId="53" xfId="0" applyFont="1" applyBorder="1" applyAlignment="1" applyProtection="1">
      <alignment horizontal="left"/>
      <protection locked="0"/>
    </xf>
    <xf numFmtId="0" fontId="29" fillId="46" borderId="30" xfId="0" applyFont="1" applyFill="1" applyBorder="1" applyAlignment="1" applyProtection="1">
      <alignment horizontal="left" vertical="center" wrapText="1"/>
      <protection hidden="1"/>
    </xf>
    <xf numFmtId="0" fontId="0" fillId="0" borderId="84" xfId="0" applyBorder="1" applyProtection="1">
      <protection hidden="1"/>
    </xf>
    <xf numFmtId="0" fontId="0" fillId="0" borderId="85" xfId="0" applyBorder="1" applyProtection="1">
      <protection hidden="1"/>
    </xf>
    <xf numFmtId="0" fontId="0" fillId="0" borderId="86" xfId="0" applyBorder="1" applyProtection="1">
      <protection hidden="1"/>
    </xf>
    <xf numFmtId="0" fontId="31" fillId="0" borderId="60" xfId="1" applyBorder="1" applyAlignment="1" applyProtection="1">
      <alignment horizontal="left"/>
      <protection locked="0"/>
    </xf>
    <xf numFmtId="0" fontId="31" fillId="0" borderId="26" xfId="1" applyBorder="1" applyAlignment="1" applyProtection="1">
      <alignment horizontal="left"/>
      <protection locked="0"/>
    </xf>
    <xf numFmtId="0" fontId="31" fillId="0" borderId="88" xfId="1" applyBorder="1" applyAlignment="1" applyProtection="1">
      <alignment horizontal="left" wrapText="1"/>
      <protection locked="0"/>
    </xf>
    <xf numFmtId="0" fontId="0" fillId="0" borderId="32" xfId="0" applyBorder="1" applyAlignment="1" applyProtection="1">
      <alignment horizontal="left"/>
      <protection locked="0"/>
    </xf>
    <xf numFmtId="0" fontId="0" fillId="0" borderId="89" xfId="0" applyBorder="1" applyAlignment="1" applyProtection="1">
      <alignment horizontal="left"/>
      <protection locked="0"/>
    </xf>
    <xf numFmtId="0" fontId="0" fillId="0" borderId="90" xfId="0" applyBorder="1" applyAlignment="1" applyProtection="1">
      <alignment horizontal="left"/>
      <protection locked="0"/>
    </xf>
    <xf numFmtId="0" fontId="0" fillId="0" borderId="63" xfId="0" applyBorder="1" applyAlignment="1" applyProtection="1">
      <alignment horizontal="left"/>
      <protection locked="0"/>
    </xf>
    <xf numFmtId="0" fontId="0" fillId="0" borderId="91" xfId="0" applyBorder="1" applyAlignment="1" applyProtection="1">
      <alignment horizontal="left"/>
      <protection locked="0"/>
    </xf>
    <xf numFmtId="0" fontId="31" fillId="0" borderId="47" xfId="0" applyFont="1" applyBorder="1" applyProtection="1">
      <protection hidden="1"/>
    </xf>
    <xf numFmtId="0" fontId="31" fillId="0" borderId="92" xfId="0" applyFont="1" applyBorder="1" applyProtection="1">
      <protection hidden="1"/>
    </xf>
    <xf numFmtId="0" fontId="31" fillId="0" borderId="26" xfId="0" applyFont="1" applyBorder="1" applyProtection="1">
      <protection hidden="1"/>
    </xf>
    <xf numFmtId="0" fontId="31" fillId="0" borderId="26" xfId="0" applyFont="1" applyBorder="1" applyAlignment="1" applyProtection="1">
      <alignment horizontal="center" vertical="center" wrapText="1"/>
      <protection hidden="1"/>
    </xf>
    <xf numFmtId="0" fontId="31" fillId="0" borderId="26" xfId="0" applyFont="1" applyBorder="1" applyAlignment="1" applyProtection="1">
      <alignment vertical="center" wrapText="1"/>
      <protection hidden="1"/>
    </xf>
    <xf numFmtId="0" fontId="31" fillId="0" borderId="47" xfId="0" applyFont="1" applyBorder="1" applyAlignment="1" applyProtection="1">
      <alignment vertical="center" wrapText="1"/>
      <protection hidden="1"/>
    </xf>
    <xf numFmtId="0" fontId="31" fillId="0" borderId="26" xfId="0" applyFont="1" applyBorder="1" applyAlignment="1" applyProtection="1">
      <alignment horizontal="left"/>
      <protection hidden="1"/>
    </xf>
    <xf numFmtId="0" fontId="31" fillId="0" borderId="26" xfId="0" applyFont="1" applyBorder="1" applyAlignment="1" applyProtection="1">
      <alignment horizontal="left" vertical="center"/>
      <protection hidden="1"/>
    </xf>
    <xf numFmtId="0" fontId="31" fillId="0" borderId="47" xfId="0" applyFont="1" applyBorder="1" applyAlignment="1" applyProtection="1">
      <alignment horizontal="left" vertical="center"/>
      <protection hidden="1"/>
    </xf>
    <xf numFmtId="0" fontId="34" fillId="0" borderId="26" xfId="0" applyFont="1" applyBorder="1" applyAlignment="1" applyProtection="1">
      <alignment horizontal="left"/>
      <protection hidden="1"/>
    </xf>
    <xf numFmtId="0" fontId="34" fillId="0" borderId="26" xfId="0" applyFont="1" applyBorder="1" applyProtection="1">
      <protection hidden="1"/>
    </xf>
    <xf numFmtId="0" fontId="34" fillId="0" borderId="47" xfId="0" applyFont="1" applyBorder="1" applyProtection="1">
      <protection hidden="1"/>
    </xf>
    <xf numFmtId="0" fontId="34" fillId="0" borderId="26" xfId="0" applyFont="1" applyBorder="1" applyAlignment="1" applyProtection="1">
      <alignment wrapText="1"/>
      <protection hidden="1"/>
    </xf>
    <xf numFmtId="0" fontId="34" fillId="0" borderId="26" xfId="0" applyFont="1" applyBorder="1" applyAlignment="1" applyProtection="1">
      <alignment horizontal="left" wrapText="1"/>
      <protection hidden="1"/>
    </xf>
    <xf numFmtId="0" fontId="34" fillId="0" borderId="92" xfId="0" applyFont="1" applyBorder="1" applyProtection="1">
      <protection hidden="1"/>
    </xf>
    <xf numFmtId="0" fontId="31" fillId="0" borderId="60" xfId="0" applyFont="1" applyBorder="1" applyProtection="1">
      <protection hidden="1"/>
    </xf>
    <xf numFmtId="0" fontId="31" fillId="0" borderId="92" xfId="0" applyFont="1" applyBorder="1" applyAlignment="1" applyProtection="1">
      <alignment horizontal="center"/>
      <protection hidden="1"/>
    </xf>
    <xf numFmtId="0" fontId="31" fillId="0" borderId="26" xfId="82" applyFont="1" applyBorder="1" applyAlignment="1" applyProtection="1">
      <alignment horizontal="center" vertical="center"/>
      <protection hidden="1"/>
    </xf>
    <xf numFmtId="0" fontId="32" fillId="0" borderId="60" xfId="0" applyFont="1" applyBorder="1" applyAlignment="1">
      <alignment vertical="center"/>
    </xf>
    <xf numFmtId="0" fontId="31" fillId="0" borderId="60" xfId="0" applyFont="1" applyBorder="1" applyAlignment="1">
      <alignment vertical="center"/>
    </xf>
    <xf numFmtId="0" fontId="32" fillId="0" borderId="0" xfId="0" applyFont="1" applyAlignment="1">
      <alignment vertical="center"/>
    </xf>
    <xf numFmtId="0" fontId="31" fillId="0" borderId="0" xfId="82" applyFont="1" applyAlignment="1" applyProtection="1">
      <alignment horizontal="center" vertical="center"/>
      <protection hidden="1"/>
    </xf>
    <xf numFmtId="0" fontId="31" fillId="0" borderId="0" xfId="0" applyFont="1" applyAlignment="1">
      <alignment vertical="center"/>
    </xf>
    <xf numFmtId="0" fontId="34" fillId="0" borderId="0" xfId="0" applyFont="1" applyAlignment="1" applyProtection="1">
      <alignment wrapText="1"/>
      <protection hidden="1"/>
    </xf>
    <xf numFmtId="0" fontId="0" fillId="0" borderId="26" xfId="0" applyBorder="1" applyAlignment="1" applyProtection="1">
      <alignment vertical="center" wrapText="1"/>
      <protection hidden="1"/>
    </xf>
    <xf numFmtId="0" fontId="0" fillId="0" borderId="26" xfId="0" applyBorder="1" applyProtection="1">
      <protection hidden="1"/>
    </xf>
    <xf numFmtId="168" fontId="22" fillId="61" borderId="26" xfId="83" applyNumberFormat="1" applyFont="1" applyFill="1" applyBorder="1" applyAlignment="1" applyProtection="1">
      <alignment horizontal="center" vertical="center" wrapText="1"/>
      <protection hidden="1"/>
    </xf>
    <xf numFmtId="0" fontId="1" fillId="0" borderId="26" xfId="0" applyFont="1" applyBorder="1" applyAlignment="1">
      <alignment vertical="center"/>
    </xf>
    <xf numFmtId="0" fontId="1" fillId="0" borderId="26" xfId="83" applyFont="1" applyBorder="1" applyAlignment="1" applyProtection="1">
      <alignment horizontal="justify" vertical="center" wrapText="1"/>
      <protection hidden="1"/>
    </xf>
    <xf numFmtId="0" fontId="32" fillId="0" borderId="47" xfId="83" applyFont="1" applyBorder="1" applyAlignment="1" applyProtection="1">
      <alignment horizontal="left" vertical="center"/>
      <protection hidden="1"/>
    </xf>
    <xf numFmtId="0" fontId="32" fillId="0" borderId="47" xfId="83" applyFont="1" applyBorder="1" applyAlignment="1" applyProtection="1">
      <alignment horizontal="justify" vertical="center" wrapText="1"/>
      <protection hidden="1"/>
    </xf>
    <xf numFmtId="0" fontId="37" fillId="0" borderId="0" xfId="0" applyFont="1"/>
    <xf numFmtId="0" fontId="32" fillId="0" borderId="26" xfId="83" applyFont="1" applyBorder="1" applyAlignment="1">
      <alignment vertical="center"/>
    </xf>
    <xf numFmtId="0" fontId="37" fillId="0" borderId="26" xfId="0" applyFont="1" applyBorder="1"/>
    <xf numFmtId="0" fontId="0" fillId="0" borderId="129" xfId="0" applyBorder="1" applyAlignment="1" applyProtection="1">
      <alignment horizontal="left"/>
      <protection hidden="1"/>
    </xf>
    <xf numFmtId="0" fontId="21" fillId="0" borderId="130" xfId="0" applyFont="1" applyBorder="1" applyAlignment="1" applyProtection="1">
      <alignment vertical="center"/>
      <protection hidden="1"/>
    </xf>
    <xf numFmtId="0" fontId="29" fillId="53" borderId="131" xfId="11" applyFont="1" applyFill="1" applyBorder="1" applyAlignment="1" applyProtection="1">
      <alignment horizontal="center" vertical="center" wrapText="1"/>
      <protection hidden="1"/>
    </xf>
    <xf numFmtId="0" fontId="0" fillId="0" borderId="131" xfId="0" applyBorder="1" applyProtection="1">
      <protection hidden="1"/>
    </xf>
    <xf numFmtId="0" fontId="29" fillId="48" borderId="26" xfId="0" applyFont="1" applyFill="1" applyBorder="1" applyAlignment="1" applyProtection="1">
      <alignment horizontal="center" vertical="center" wrapText="1"/>
      <protection hidden="1"/>
    </xf>
    <xf numFmtId="0" fontId="29" fillId="48" borderId="70" xfId="0" applyFont="1" applyFill="1" applyBorder="1" applyAlignment="1" applyProtection="1">
      <alignment horizontal="center" vertical="center" wrapText="1"/>
      <protection hidden="1"/>
    </xf>
    <xf numFmtId="0" fontId="0" fillId="0" borderId="26" xfId="0" applyBorder="1" applyAlignment="1" applyProtection="1">
      <alignment wrapText="1"/>
      <protection hidden="1"/>
    </xf>
    <xf numFmtId="0" fontId="0" fillId="0" borderId="92" xfId="0" applyBorder="1" applyProtection="1">
      <protection hidden="1"/>
    </xf>
    <xf numFmtId="0" fontId="22" fillId="47" borderId="80" xfId="1" applyFont="1" applyFill="1" applyBorder="1" applyAlignment="1" applyProtection="1">
      <alignment horizontal="left" vertical="center"/>
      <protection hidden="1"/>
    </xf>
    <xf numFmtId="0" fontId="0" fillId="0" borderId="131" xfId="0" applyBorder="1" applyProtection="1">
      <protection locked="0" hidden="1"/>
    </xf>
    <xf numFmtId="0" fontId="38" fillId="0" borderId="26" xfId="0" applyFont="1" applyBorder="1" applyProtection="1">
      <protection hidden="1"/>
    </xf>
    <xf numFmtId="0" fontId="0" fillId="0" borderId="67" xfId="0" applyBorder="1" applyAlignment="1" applyProtection="1">
      <alignment horizontal="left" vertical="center"/>
      <protection hidden="1"/>
    </xf>
    <xf numFmtId="168" fontId="32" fillId="55" borderId="26" xfId="103" applyNumberFormat="1" applyFont="1" applyFill="1" applyBorder="1" applyAlignment="1" applyProtection="1">
      <alignment vertical="center"/>
      <protection locked="0" hidden="1"/>
    </xf>
    <xf numFmtId="2" fontId="32" fillId="56" borderId="26" xfId="104" applyNumberFormat="1" applyFont="1" applyFill="1" applyBorder="1" applyAlignment="1" applyProtection="1">
      <alignment vertical="center"/>
      <protection locked="0" hidden="1"/>
    </xf>
    <xf numFmtId="168" fontId="32" fillId="56" borderId="26" xfId="104" applyNumberFormat="1" applyFont="1" applyFill="1" applyBorder="1" applyAlignment="1" applyProtection="1">
      <alignment vertical="center"/>
      <protection locked="0" hidden="1"/>
    </xf>
    <xf numFmtId="4" fontId="32" fillId="55" borderId="26" xfId="103" applyNumberFormat="1" applyFont="1" applyFill="1" applyBorder="1" applyAlignment="1" applyProtection="1">
      <alignment vertical="center"/>
      <protection locked="0" hidden="1"/>
    </xf>
    <xf numFmtId="0" fontId="37" fillId="0" borderId="26" xfId="0" applyFont="1" applyBorder="1" applyProtection="1">
      <protection locked="0" hidden="1"/>
    </xf>
    <xf numFmtId="0" fontId="0" fillId="0" borderId="87" xfId="1" applyFont="1" applyBorder="1" applyAlignment="1" applyProtection="1">
      <alignment horizontal="left"/>
      <protection locked="0"/>
    </xf>
    <xf numFmtId="0" fontId="0" fillId="0" borderId="60" xfId="1" applyFont="1" applyBorder="1" applyAlignment="1" applyProtection="1">
      <alignment horizontal="left"/>
      <protection locked="0"/>
    </xf>
    <xf numFmtId="0" fontId="0" fillId="0" borderId="37" xfId="1" applyFont="1" applyBorder="1" applyAlignment="1" applyProtection="1">
      <alignment horizontal="left"/>
      <protection locked="0"/>
    </xf>
    <xf numFmtId="0" fontId="0" fillId="0" borderId="26" xfId="1" applyFont="1" applyBorder="1" applyAlignment="1" applyProtection="1">
      <alignment horizontal="left"/>
      <protection locked="0"/>
    </xf>
    <xf numFmtId="0" fontId="0" fillId="0" borderId="18" xfId="0" quotePrefix="1" applyBorder="1" applyAlignment="1" applyProtection="1">
      <alignment horizontal="left"/>
      <protection locked="0"/>
    </xf>
    <xf numFmtId="0" fontId="0" fillId="52" borderId="20" xfId="0" applyFill="1" applyBorder="1" applyAlignment="1" applyProtection="1">
      <alignment horizontal="justify" wrapText="1"/>
      <protection hidden="1"/>
    </xf>
    <xf numFmtId="0" fontId="0" fillId="58" borderId="99" xfId="0" applyFill="1" applyBorder="1" applyAlignment="1" applyProtection="1">
      <alignment horizontal="center" vertical="center" wrapText="1"/>
      <protection hidden="1"/>
    </xf>
    <xf numFmtId="0" fontId="25" fillId="58" borderId="98" xfId="11" applyFont="1" applyFill="1" applyBorder="1" applyAlignment="1" applyProtection="1">
      <alignment horizontal="center" vertical="center" wrapText="1"/>
      <protection hidden="1"/>
    </xf>
    <xf numFmtId="0" fontId="22" fillId="0" borderId="98" xfId="0" applyFont="1" applyBorder="1" applyAlignment="1" applyProtection="1">
      <alignment horizontal="left"/>
      <protection locked="0"/>
    </xf>
    <xf numFmtId="0" fontId="0" fillId="0" borderId="98" xfId="0" applyBorder="1" applyAlignment="1" applyProtection="1">
      <alignment horizontal="left"/>
      <protection locked="0"/>
    </xf>
    <xf numFmtId="0" fontId="27" fillId="0" borderId="98" xfId="60" applyNumberFormat="1" applyFill="1" applyBorder="1" applyAlignment="1" applyProtection="1">
      <alignment horizontal="left"/>
      <protection locked="0"/>
    </xf>
    <xf numFmtId="0" fontId="0" fillId="0" borderId="98" xfId="0" quotePrefix="1" applyBorder="1" applyAlignment="1" applyProtection="1">
      <alignment horizontal="left"/>
      <protection locked="0"/>
    </xf>
    <xf numFmtId="0" fontId="0" fillId="58" borderId="108" xfId="0" applyFill="1" applyBorder="1" applyAlignment="1" applyProtection="1">
      <alignment horizontal="center" vertical="center" wrapText="1"/>
      <protection hidden="1"/>
    </xf>
    <xf numFmtId="0" fontId="0" fillId="58" borderId="109" xfId="0" applyFill="1" applyBorder="1" applyAlignment="1" applyProtection="1">
      <alignment horizontal="center" vertical="center" wrapText="1"/>
      <protection hidden="1"/>
    </xf>
    <xf numFmtId="0" fontId="22" fillId="58" borderId="100" xfId="11" applyFont="1" applyFill="1" applyBorder="1" applyAlignment="1" applyProtection="1">
      <alignment horizontal="center" vertical="center" wrapText="1"/>
      <protection hidden="1"/>
    </xf>
    <xf numFmtId="0" fontId="22" fillId="58" borderId="101" xfId="11" applyFont="1" applyFill="1" applyBorder="1" applyAlignment="1" applyProtection="1">
      <alignment horizontal="center" vertical="center" wrapText="1"/>
      <protection hidden="1"/>
    </xf>
    <xf numFmtId="0" fontId="22" fillId="58" borderId="102" xfId="0" applyFont="1" applyFill="1" applyBorder="1" applyAlignment="1" applyProtection="1">
      <alignment horizontal="center" vertical="center"/>
      <protection hidden="1"/>
    </xf>
    <xf numFmtId="0" fontId="0" fillId="58" borderId="103" xfId="0" applyFill="1" applyBorder="1" applyAlignment="1" applyProtection="1">
      <alignment horizontal="center" vertical="center" wrapText="1"/>
      <protection hidden="1"/>
    </xf>
    <xf numFmtId="0" fontId="0" fillId="58" borderId="104" xfId="0" applyFill="1" applyBorder="1" applyAlignment="1" applyProtection="1">
      <alignment horizontal="center" vertical="center" wrapText="1"/>
      <protection hidden="1"/>
    </xf>
    <xf numFmtId="0" fontId="0" fillId="52" borderId="98" xfId="0" applyFill="1" applyBorder="1" applyAlignment="1" applyProtection="1">
      <alignment horizontal="left" vertical="top" wrapText="1"/>
      <protection locked="0"/>
    </xf>
    <xf numFmtId="0" fontId="0" fillId="52" borderId="98" xfId="0" applyFill="1" applyBorder="1" applyAlignment="1" applyProtection="1">
      <alignment horizontal="left" vertical="top"/>
      <protection locked="0"/>
    </xf>
    <xf numFmtId="0" fontId="0" fillId="58" borderId="105" xfId="0" applyFill="1" applyBorder="1" applyAlignment="1" applyProtection="1">
      <alignment horizontal="center" vertical="center" wrapText="1"/>
      <protection hidden="1"/>
    </xf>
    <xf numFmtId="0" fontId="0" fillId="58" borderId="106" xfId="0" applyFill="1" applyBorder="1" applyAlignment="1" applyProtection="1">
      <alignment horizontal="center" vertical="center" wrapText="1"/>
      <protection hidden="1"/>
    </xf>
    <xf numFmtId="0" fontId="0" fillId="58" borderId="107" xfId="0" applyFill="1" applyBorder="1" applyAlignment="1" applyProtection="1">
      <alignment horizontal="center" vertical="center" wrapText="1"/>
      <protection hidden="1"/>
    </xf>
    <xf numFmtId="0" fontId="22" fillId="0" borderId="26" xfId="0" applyFont="1" applyBorder="1" applyAlignment="1" applyProtection="1">
      <alignment horizontal="center"/>
      <protection hidden="1"/>
    </xf>
    <xf numFmtId="0" fontId="29" fillId="46" borderId="117" xfId="0" applyFont="1" applyFill="1" applyBorder="1" applyAlignment="1" applyProtection="1">
      <alignment horizontal="center" vertical="center"/>
      <protection hidden="1"/>
    </xf>
    <xf numFmtId="0" fontId="29" fillId="46" borderId="118" xfId="0" applyFont="1" applyFill="1" applyBorder="1" applyAlignment="1" applyProtection="1">
      <alignment horizontal="center" vertical="center"/>
      <protection hidden="1"/>
    </xf>
    <xf numFmtId="0" fontId="29" fillId="46" borderId="119" xfId="0" applyFont="1" applyFill="1" applyBorder="1" applyAlignment="1" applyProtection="1">
      <alignment horizontal="center" vertical="center"/>
      <protection hidden="1"/>
    </xf>
    <xf numFmtId="0" fontId="29" fillId="46" borderId="97" xfId="0" applyFont="1" applyFill="1" applyBorder="1" applyAlignment="1" applyProtection="1">
      <alignment horizontal="center" vertical="center" wrapText="1"/>
      <protection hidden="1"/>
    </xf>
    <xf numFmtId="0" fontId="29" fillId="46" borderId="95" xfId="0" applyFont="1" applyFill="1" applyBorder="1" applyAlignment="1" applyProtection="1">
      <alignment horizontal="center" vertical="center" wrapText="1"/>
      <protection hidden="1"/>
    </xf>
    <xf numFmtId="0" fontId="29" fillId="46" borderId="96" xfId="0" applyFont="1" applyFill="1" applyBorder="1" applyAlignment="1" applyProtection="1">
      <alignment horizontal="center" vertical="center" wrapText="1"/>
      <protection hidden="1"/>
    </xf>
    <xf numFmtId="0" fontId="29" fillId="46" borderId="93" xfId="0" applyFont="1" applyFill="1" applyBorder="1" applyAlignment="1" applyProtection="1">
      <alignment horizontal="center" vertical="center" wrapText="1"/>
      <protection hidden="1"/>
    </xf>
    <xf numFmtId="0" fontId="29" fillId="46" borderId="62" xfId="0" applyFont="1" applyFill="1" applyBorder="1" applyAlignment="1" applyProtection="1">
      <alignment horizontal="center" vertical="center" wrapText="1"/>
      <protection hidden="1"/>
    </xf>
    <xf numFmtId="0" fontId="29" fillId="46" borderId="94" xfId="0" applyFont="1" applyFill="1" applyBorder="1" applyAlignment="1" applyProtection="1">
      <alignment horizontal="center" vertical="center" wrapText="1"/>
      <protection hidden="1"/>
    </xf>
    <xf numFmtId="0" fontId="29" fillId="46" borderId="110" xfId="0" applyFont="1" applyFill="1" applyBorder="1" applyAlignment="1" applyProtection="1">
      <alignment horizontal="center" vertical="center" wrapText="1"/>
      <protection hidden="1"/>
    </xf>
    <xf numFmtId="0" fontId="29" fillId="46" borderId="111" xfId="0" applyFont="1" applyFill="1" applyBorder="1" applyAlignment="1" applyProtection="1">
      <alignment horizontal="center" vertical="center" wrapText="1"/>
      <protection hidden="1"/>
    </xf>
    <xf numFmtId="0" fontId="22" fillId="59" borderId="112" xfId="0" applyFont="1" applyFill="1" applyBorder="1" applyAlignment="1" applyProtection="1">
      <alignment horizontal="center" vertical="center" wrapText="1"/>
      <protection hidden="1"/>
    </xf>
    <xf numFmtId="0" fontId="22" fillId="59" borderId="113" xfId="0" applyFont="1" applyFill="1" applyBorder="1" applyAlignment="1" applyProtection="1">
      <alignment horizontal="center" vertical="center" wrapText="1"/>
      <protection hidden="1"/>
    </xf>
    <xf numFmtId="0" fontId="22" fillId="59" borderId="107" xfId="0" applyFont="1" applyFill="1" applyBorder="1" applyAlignment="1" applyProtection="1">
      <alignment horizontal="center" vertical="center" wrapText="1"/>
      <protection hidden="1"/>
    </xf>
    <xf numFmtId="0" fontId="29" fillId="46" borderId="114" xfId="0" applyFont="1" applyFill="1" applyBorder="1" applyAlignment="1" applyProtection="1">
      <alignment horizontal="center" vertical="center" wrapText="1"/>
      <protection hidden="1"/>
    </xf>
    <xf numFmtId="0" fontId="29" fillId="46" borderId="115" xfId="0" applyFont="1" applyFill="1" applyBorder="1" applyAlignment="1" applyProtection="1">
      <alignment horizontal="center" vertical="center" wrapText="1"/>
      <protection hidden="1"/>
    </xf>
    <xf numFmtId="0" fontId="29" fillId="46" borderId="116" xfId="0" applyFont="1" applyFill="1" applyBorder="1" applyAlignment="1" applyProtection="1">
      <alignment horizontal="center" vertical="center" wrapText="1"/>
      <protection hidden="1"/>
    </xf>
    <xf numFmtId="0" fontId="29" fillId="46" borderId="112" xfId="0" applyFont="1" applyFill="1" applyBorder="1" applyAlignment="1" applyProtection="1">
      <alignment horizontal="center" vertical="center" wrapText="1"/>
      <protection hidden="1"/>
    </xf>
    <xf numFmtId="0" fontId="29" fillId="46" borderId="107" xfId="0" applyFont="1" applyFill="1" applyBorder="1" applyAlignment="1" applyProtection="1">
      <alignment horizontal="center" vertical="center" wrapText="1"/>
      <protection hidden="1"/>
    </xf>
    <xf numFmtId="0" fontId="29" fillId="48" borderId="26" xfId="0" applyFont="1" applyFill="1" applyBorder="1" applyAlignment="1" applyProtection="1">
      <alignment horizontal="left" vertical="center" wrapText="1"/>
      <protection hidden="1"/>
    </xf>
    <xf numFmtId="0" fontId="29" fillId="48" borderId="35" xfId="0" applyFont="1" applyFill="1" applyBorder="1" applyAlignment="1" applyProtection="1">
      <alignment horizontal="center" vertical="center" wrapText="1"/>
      <protection hidden="1"/>
    </xf>
    <xf numFmtId="0" fontId="29" fillId="48" borderId="26" xfId="0" applyFont="1" applyFill="1" applyBorder="1" applyAlignment="1" applyProtection="1">
      <alignment horizontal="center" vertical="center" wrapText="1"/>
      <protection hidden="1"/>
    </xf>
    <xf numFmtId="0" fontId="29" fillId="48" borderId="30" xfId="0" applyFont="1" applyFill="1" applyBorder="1" applyAlignment="1" applyProtection="1">
      <alignment horizontal="center" vertical="center" wrapText="1"/>
      <protection hidden="1"/>
    </xf>
    <xf numFmtId="0" fontId="29" fillId="48" borderId="47" xfId="0" applyFont="1" applyFill="1" applyBorder="1" applyAlignment="1" applyProtection="1">
      <alignment horizontal="center" vertical="center"/>
      <protection hidden="1"/>
    </xf>
    <xf numFmtId="0" fontId="29" fillId="48" borderId="74" xfId="0" applyFont="1" applyFill="1" applyBorder="1" applyAlignment="1" applyProtection="1">
      <alignment horizontal="center" vertical="center"/>
      <protection hidden="1"/>
    </xf>
    <xf numFmtId="0" fontId="29" fillId="48" borderId="70" xfId="0" applyFont="1" applyFill="1" applyBorder="1" applyAlignment="1" applyProtection="1">
      <alignment horizontal="center" vertical="center" wrapText="1"/>
      <protection hidden="1"/>
    </xf>
    <xf numFmtId="0" fontId="29" fillId="48" borderId="34" xfId="0" applyFont="1" applyFill="1" applyBorder="1" applyAlignment="1" applyProtection="1">
      <alignment horizontal="center" vertical="center" wrapText="1"/>
      <protection hidden="1"/>
    </xf>
    <xf numFmtId="0" fontId="0" fillId="47" borderId="30" xfId="0" applyFill="1" applyBorder="1" applyAlignment="1" applyProtection="1">
      <alignment horizontal="left" vertical="center" wrapText="1"/>
      <protection hidden="1"/>
    </xf>
    <xf numFmtId="0" fontId="29" fillId="49" borderId="120" xfId="0" applyFont="1" applyFill="1" applyBorder="1" applyAlignment="1" applyProtection="1">
      <alignment horizontal="center" vertical="center"/>
      <protection hidden="1"/>
    </xf>
    <xf numFmtId="0" fontId="29" fillId="49" borderId="121" xfId="0" applyFont="1" applyFill="1" applyBorder="1" applyAlignment="1" applyProtection="1">
      <alignment horizontal="center" vertical="center"/>
      <protection hidden="1"/>
    </xf>
    <xf numFmtId="0" fontId="29" fillId="49" borderId="51" xfId="0" applyFont="1" applyFill="1" applyBorder="1" applyAlignment="1" applyProtection="1">
      <alignment horizontal="center" vertical="center"/>
      <protection hidden="1"/>
    </xf>
    <xf numFmtId="0" fontId="29" fillId="49" borderId="122" xfId="0" applyFont="1" applyFill="1" applyBorder="1" applyAlignment="1" applyProtection="1">
      <alignment horizontal="center" vertical="center" wrapText="1"/>
      <protection hidden="1"/>
    </xf>
    <xf numFmtId="0" fontId="29" fillId="49" borderId="123" xfId="0" applyFont="1" applyFill="1" applyBorder="1" applyAlignment="1" applyProtection="1">
      <alignment horizontal="center" vertical="center" wrapText="1"/>
      <protection hidden="1"/>
    </xf>
    <xf numFmtId="0" fontId="29" fillId="49" borderId="76" xfId="0" applyFont="1" applyFill="1" applyBorder="1" applyAlignment="1" applyProtection="1">
      <alignment horizontal="center" vertical="center" wrapText="1"/>
      <protection hidden="1"/>
    </xf>
    <xf numFmtId="0" fontId="29" fillId="49" borderId="26" xfId="0" applyFont="1" applyFill="1" applyBorder="1" applyAlignment="1" applyProtection="1">
      <alignment horizontal="center" vertical="center" wrapText="1"/>
      <protection hidden="1"/>
    </xf>
    <xf numFmtId="0" fontId="29" fillId="49" borderId="30" xfId="0" applyFont="1" applyFill="1" applyBorder="1" applyAlignment="1" applyProtection="1">
      <alignment horizontal="center" vertical="center" wrapText="1"/>
      <protection hidden="1"/>
    </xf>
    <xf numFmtId="0" fontId="22" fillId="59" borderId="124" xfId="0" applyFont="1" applyFill="1" applyBorder="1" applyAlignment="1" applyProtection="1">
      <alignment horizontal="center" vertical="center" wrapText="1"/>
      <protection hidden="1"/>
    </xf>
    <xf numFmtId="0" fontId="22" fillId="59" borderId="125" xfId="0" applyFont="1" applyFill="1" applyBorder="1" applyAlignment="1" applyProtection="1">
      <alignment horizontal="center" vertical="center" wrapText="1"/>
      <protection hidden="1"/>
    </xf>
    <xf numFmtId="0" fontId="22" fillId="59" borderId="44" xfId="0" applyFont="1" applyFill="1" applyBorder="1" applyAlignment="1" applyProtection="1">
      <alignment horizontal="center" vertical="center" wrapText="1"/>
      <protection hidden="1"/>
    </xf>
    <xf numFmtId="0" fontId="22" fillId="59" borderId="0" xfId="0" applyFont="1" applyFill="1" applyAlignment="1" applyProtection="1">
      <alignment horizontal="center" vertical="center" wrapText="1"/>
      <protection hidden="1"/>
    </xf>
    <xf numFmtId="0" fontId="22" fillId="59" borderId="40" xfId="0" applyFont="1" applyFill="1" applyBorder="1" applyAlignment="1" applyProtection="1">
      <alignment horizontal="center" vertical="center" wrapText="1"/>
      <protection hidden="1"/>
    </xf>
    <xf numFmtId="0" fontId="22" fillId="59" borderId="126" xfId="0" applyFont="1" applyFill="1" applyBorder="1" applyAlignment="1" applyProtection="1">
      <alignment horizontal="center" vertical="center" wrapText="1"/>
      <protection hidden="1"/>
    </xf>
    <xf numFmtId="0" fontId="0" fillId="47" borderId="26" xfId="0" applyFill="1" applyBorder="1" applyAlignment="1" applyProtection="1">
      <alignment horizontal="left" vertical="center" wrapText="1"/>
      <protection hidden="1"/>
    </xf>
    <xf numFmtId="0" fontId="29" fillId="49" borderId="39" xfId="0" applyFont="1" applyFill="1" applyBorder="1" applyAlignment="1" applyProtection="1">
      <alignment horizontal="center" vertical="center" wrapText="1"/>
      <protection hidden="1"/>
    </xf>
    <xf numFmtId="0" fontId="29" fillId="49" borderId="37" xfId="0" applyFont="1" applyFill="1" applyBorder="1" applyAlignment="1" applyProtection="1">
      <alignment horizontal="center" vertical="center" wrapText="1"/>
      <protection hidden="1"/>
    </xf>
    <xf numFmtId="0" fontId="29" fillId="49" borderId="35" xfId="0" applyFont="1" applyFill="1" applyBorder="1" applyAlignment="1" applyProtection="1">
      <alignment horizontal="center" vertical="center" wrapText="1"/>
      <protection hidden="1"/>
    </xf>
    <xf numFmtId="0" fontId="29" fillId="49" borderId="70" xfId="0" applyFont="1" applyFill="1" applyBorder="1" applyAlignment="1" applyProtection="1">
      <alignment horizontal="center" vertical="center" wrapText="1"/>
      <protection hidden="1"/>
    </xf>
    <xf numFmtId="0" fontId="29" fillId="49" borderId="43" xfId="0" applyFont="1" applyFill="1" applyBorder="1" applyAlignment="1" applyProtection="1">
      <alignment horizontal="center" vertical="center" wrapText="1"/>
      <protection hidden="1"/>
    </xf>
    <xf numFmtId="0" fontId="29" fillId="49" borderId="33" xfId="0" applyFont="1" applyFill="1" applyBorder="1" applyAlignment="1" applyProtection="1">
      <alignment horizontal="center" vertical="center" wrapText="1"/>
      <protection hidden="1"/>
    </xf>
    <xf numFmtId="0" fontId="0" fillId="47" borderId="127" xfId="0" applyFill="1" applyBorder="1" applyAlignment="1" applyProtection="1">
      <alignment horizontal="left" vertical="center" wrapText="1"/>
      <protection hidden="1"/>
    </xf>
    <xf numFmtId="0" fontId="0" fillId="47" borderId="110" xfId="0" applyFill="1" applyBorder="1" applyAlignment="1" applyProtection="1">
      <alignment horizontal="left" vertical="center" wrapText="1"/>
      <protection hidden="1"/>
    </xf>
    <xf numFmtId="0" fontId="0" fillId="47" borderId="128" xfId="0" applyFill="1" applyBorder="1" applyAlignment="1" applyProtection="1">
      <alignment horizontal="left" vertical="center" wrapText="1"/>
      <protection hidden="1"/>
    </xf>
    <xf numFmtId="0" fontId="0" fillId="55" borderId="34" xfId="0" applyFill="1" applyBorder="1" applyAlignment="1" applyProtection="1">
      <alignment horizontal="left" vertical="center" wrapText="1"/>
      <protection hidden="1"/>
    </xf>
    <xf numFmtId="0" fontId="31" fillId="0" borderId="34" xfId="0" applyFont="1" applyBorder="1" applyAlignment="1" applyProtection="1">
      <alignment horizontal="center"/>
      <protection locked="0" hidden="1"/>
    </xf>
    <xf numFmtId="0" fontId="31" fillId="0" borderId="83" xfId="0" applyFont="1" applyBorder="1" applyAlignment="1" applyProtection="1">
      <alignment horizontal="center"/>
      <protection locked="0" hidden="1"/>
    </xf>
    <xf numFmtId="0" fontId="0" fillId="55" borderId="26" xfId="0" applyFill="1" applyBorder="1" applyAlignment="1" applyProtection="1">
      <alignment horizontal="left" vertical="center" wrapText="1"/>
      <protection hidden="1"/>
    </xf>
    <xf numFmtId="0" fontId="31" fillId="0" borderId="26" xfId="0" applyFont="1" applyBorder="1" applyAlignment="1" applyProtection="1">
      <alignment horizontal="center"/>
      <protection locked="0" hidden="1"/>
    </xf>
    <xf numFmtId="0" fontId="31" fillId="0" borderId="53" xfId="0" applyFont="1" applyBorder="1" applyAlignment="1" applyProtection="1">
      <alignment horizontal="center"/>
      <protection locked="0" hidden="1"/>
    </xf>
    <xf numFmtId="0" fontId="31" fillId="0" borderId="30" xfId="0" applyFont="1" applyBorder="1" applyAlignment="1" applyProtection="1">
      <alignment horizontal="center"/>
      <protection locked="0" hidden="1"/>
    </xf>
    <xf numFmtId="0" fontId="31" fillId="0" borderId="54" xfId="0" applyFont="1" applyBorder="1" applyAlignment="1" applyProtection="1">
      <alignment horizontal="center"/>
      <protection locked="0" hidden="1"/>
    </xf>
    <xf numFmtId="0" fontId="0" fillId="55" borderId="30" xfId="0" applyFill="1" applyBorder="1" applyAlignment="1" applyProtection="1">
      <alignment horizontal="left" vertical="center" wrapText="1"/>
      <protection hidden="1"/>
    </xf>
    <xf numFmtId="0" fontId="29" fillId="49" borderId="52" xfId="0" applyFont="1" applyFill="1" applyBorder="1" applyAlignment="1" applyProtection="1">
      <alignment horizontal="center" vertical="center"/>
      <protection hidden="1"/>
    </xf>
    <xf numFmtId="0" fontId="29" fillId="49" borderId="53" xfId="0" applyFont="1" applyFill="1" applyBorder="1" applyAlignment="1" applyProtection="1">
      <alignment horizontal="center" vertical="center"/>
      <protection hidden="1"/>
    </xf>
    <xf numFmtId="0" fontId="29" fillId="49" borderId="54" xfId="0" applyFont="1" applyFill="1" applyBorder="1" applyAlignment="1" applyProtection="1">
      <alignment horizontal="center" vertical="center"/>
      <protection hidden="1"/>
    </xf>
    <xf numFmtId="0" fontId="0" fillId="47" borderId="37" xfId="0" applyFill="1" applyBorder="1" applyAlignment="1" applyProtection="1">
      <alignment horizontal="left" vertical="center" wrapText="1"/>
      <protection hidden="1"/>
    </xf>
    <xf numFmtId="0" fontId="22" fillId="59" borderId="37" xfId="0" applyFont="1" applyFill="1" applyBorder="1" applyAlignment="1" applyProtection="1">
      <alignment horizontal="center" vertical="center" wrapText="1"/>
      <protection hidden="1"/>
    </xf>
    <xf numFmtId="0" fontId="22" fillId="59" borderId="30" xfId="0" applyFont="1" applyFill="1" applyBorder="1" applyAlignment="1" applyProtection="1">
      <alignment horizontal="center" vertical="center" wrapText="1"/>
      <protection hidden="1"/>
    </xf>
    <xf numFmtId="0" fontId="29" fillId="49" borderId="37" xfId="0" applyFont="1" applyFill="1" applyBorder="1" applyAlignment="1" applyProtection="1">
      <alignment horizontal="center" vertical="center"/>
      <protection hidden="1"/>
    </xf>
    <xf numFmtId="0" fontId="29" fillId="49" borderId="30" xfId="0" applyFont="1" applyFill="1" applyBorder="1" applyAlignment="1" applyProtection="1">
      <alignment horizontal="center" vertical="center"/>
      <protection hidden="1"/>
    </xf>
    <xf numFmtId="0" fontId="0" fillId="55" borderId="37" xfId="0" applyFill="1" applyBorder="1" applyAlignment="1" applyProtection="1">
      <alignment horizontal="left" vertical="center" wrapText="1"/>
      <protection hidden="1"/>
    </xf>
    <xf numFmtId="0" fontId="29" fillId="49" borderId="52" xfId="0" applyFont="1" applyFill="1" applyBorder="1" applyAlignment="1" applyProtection="1">
      <alignment horizontal="center" vertical="center" wrapText="1"/>
      <protection hidden="1"/>
    </xf>
    <xf numFmtId="0" fontId="22" fillId="59" borderId="70" xfId="0" applyFont="1" applyFill="1" applyBorder="1" applyAlignment="1" applyProtection="1">
      <alignment horizontal="center" vertical="center" wrapText="1"/>
      <protection hidden="1"/>
    </xf>
    <xf numFmtId="0" fontId="22" fillId="59" borderId="43" xfId="0" applyFont="1" applyFill="1" applyBorder="1" applyAlignment="1" applyProtection="1">
      <alignment horizontal="center" vertical="center" wrapText="1"/>
      <protection hidden="1"/>
    </xf>
    <xf numFmtId="0" fontId="22" fillId="59" borderId="33" xfId="0" applyFont="1" applyFill="1" applyBorder="1" applyAlignment="1" applyProtection="1">
      <alignment horizontal="center" vertical="center" wrapText="1"/>
      <protection hidden="1"/>
    </xf>
    <xf numFmtId="0" fontId="29" fillId="49" borderId="74" xfId="0" applyFont="1" applyFill="1" applyBorder="1" applyAlignment="1" applyProtection="1">
      <alignment horizontal="center" vertical="center"/>
      <protection hidden="1"/>
    </xf>
    <xf numFmtId="0" fontId="29" fillId="49" borderId="45" xfId="0" applyFont="1" applyFill="1" applyBorder="1" applyAlignment="1" applyProtection="1">
      <alignment horizontal="center" vertical="center"/>
      <protection hidden="1"/>
    </xf>
    <xf numFmtId="0" fontId="29" fillId="49" borderId="41" xfId="0" applyFont="1" applyFill="1" applyBorder="1" applyAlignment="1" applyProtection="1">
      <alignment horizontal="center" vertical="center"/>
      <protection hidden="1"/>
    </xf>
    <xf numFmtId="0" fontId="29" fillId="49" borderId="97" xfId="0" applyFont="1" applyFill="1" applyBorder="1" applyAlignment="1" applyProtection="1">
      <alignment horizontal="center" vertical="center" wrapText="1"/>
      <protection hidden="1"/>
    </xf>
    <xf numFmtId="0" fontId="29" fillId="49" borderId="125" xfId="0" applyFont="1" applyFill="1" applyBorder="1" applyAlignment="1" applyProtection="1">
      <alignment horizontal="center" vertical="center" wrapText="1"/>
      <protection hidden="1"/>
    </xf>
    <xf numFmtId="0" fontId="29" fillId="49" borderId="120" xfId="0" applyFont="1" applyFill="1" applyBorder="1" applyAlignment="1" applyProtection="1">
      <alignment horizontal="center" vertical="center" wrapText="1"/>
      <protection hidden="1"/>
    </xf>
    <xf numFmtId="0" fontId="29" fillId="49" borderId="36" xfId="0" applyFont="1" applyFill="1" applyBorder="1" applyAlignment="1" applyProtection="1">
      <alignment horizontal="center" vertical="center" wrapText="1"/>
      <protection hidden="1"/>
    </xf>
    <xf numFmtId="0" fontId="29" fillId="50" borderId="81" xfId="0" applyFont="1" applyFill="1" applyBorder="1" applyAlignment="1" applyProtection="1">
      <alignment horizontal="center" vertical="center" wrapText="1"/>
      <protection hidden="1"/>
    </xf>
    <xf numFmtId="0" fontId="29" fillId="50" borderId="110" xfId="0" applyFont="1" applyFill="1" applyBorder="1" applyAlignment="1" applyProtection="1">
      <alignment horizontal="center" vertical="center" wrapText="1"/>
      <protection hidden="1"/>
    </xf>
    <xf numFmtId="0" fontId="29" fillId="50" borderId="50" xfId="0" applyFont="1" applyFill="1" applyBorder="1" applyAlignment="1" applyProtection="1">
      <alignment horizontal="center" vertical="center" wrapText="1"/>
      <protection hidden="1"/>
    </xf>
    <xf numFmtId="0" fontId="36" fillId="61" borderId="47" xfId="83" applyFont="1" applyFill="1" applyBorder="1" applyAlignment="1" applyProtection="1">
      <alignment horizontal="center" vertical="center" wrapText="1"/>
      <protection hidden="1"/>
    </xf>
    <xf numFmtId="0" fontId="36" fillId="61" borderId="92" xfId="83" applyFont="1" applyFill="1" applyBorder="1" applyAlignment="1" applyProtection="1">
      <alignment horizontal="center" vertical="center" wrapText="1"/>
      <protection hidden="1"/>
    </xf>
    <xf numFmtId="0" fontId="36" fillId="61" borderId="60" xfId="83" applyFont="1" applyFill="1" applyBorder="1" applyAlignment="1" applyProtection="1">
      <alignment horizontal="center" vertical="center" wrapText="1"/>
      <protection hidden="1"/>
    </xf>
    <xf numFmtId="0" fontId="29" fillId="50" borderId="37" xfId="1" applyFont="1" applyFill="1" applyBorder="1" applyAlignment="1" applyProtection="1">
      <alignment horizontal="center" vertical="center" wrapText="1"/>
      <protection hidden="1"/>
    </xf>
    <xf numFmtId="0" fontId="29" fillId="50" borderId="52" xfId="1" applyFont="1" applyFill="1" applyBorder="1" applyAlignment="1" applyProtection="1">
      <alignment horizontal="center" vertical="center" wrapText="1"/>
      <protection hidden="1"/>
    </xf>
    <xf numFmtId="0" fontId="22" fillId="51" borderId="76" xfId="0" applyFont="1" applyFill="1" applyBorder="1" applyAlignment="1" applyProtection="1">
      <alignment horizontal="center" vertical="center" wrapText="1"/>
      <protection hidden="1"/>
    </xf>
    <xf numFmtId="0" fontId="22" fillId="51" borderId="37" xfId="0" applyFont="1" applyFill="1" applyBorder="1" applyAlignment="1" applyProtection="1">
      <alignment horizontal="center" vertical="center" wrapText="1"/>
      <protection hidden="1"/>
    </xf>
    <xf numFmtId="0" fontId="22" fillId="51" borderId="52" xfId="0" applyFont="1" applyFill="1" applyBorder="1" applyAlignment="1" applyProtection="1">
      <alignment horizontal="center" vertical="center" wrapText="1"/>
      <protection hidden="1"/>
    </xf>
    <xf numFmtId="0" fontId="29" fillId="46" borderId="39" xfId="1" applyFont="1" applyFill="1" applyBorder="1" applyAlignment="1" applyProtection="1">
      <alignment horizontal="center" vertical="center" wrapText="1"/>
      <protection hidden="1"/>
    </xf>
    <xf numFmtId="0" fontId="29" fillId="46" borderId="37" xfId="1" applyFont="1" applyFill="1" applyBorder="1" applyAlignment="1" applyProtection="1">
      <alignment horizontal="center" vertical="center" wrapText="1"/>
      <protection hidden="1"/>
    </xf>
    <xf numFmtId="0" fontId="29" fillId="53" borderId="37" xfId="1" applyFont="1" applyFill="1" applyBorder="1" applyAlignment="1" applyProtection="1">
      <alignment horizontal="center" vertical="center" wrapText="1"/>
      <protection hidden="1"/>
    </xf>
    <xf numFmtId="0" fontId="29" fillId="48" borderId="37" xfId="1" applyFont="1" applyFill="1" applyBorder="1" applyAlignment="1" applyProtection="1">
      <alignment horizontal="center" vertical="center" wrapText="1"/>
      <protection hidden="1"/>
    </xf>
    <xf numFmtId="0" fontId="29" fillId="49" borderId="37" xfId="1" applyFont="1" applyFill="1" applyBorder="1" applyAlignment="1" applyProtection="1">
      <alignment horizontal="center" vertical="center" wrapText="1"/>
      <protection hidden="1"/>
    </xf>
    <xf numFmtId="0" fontId="31" fillId="0" borderId="92" xfId="0" applyFont="1" applyBorder="1" applyAlignment="1" applyProtection="1">
      <alignment horizontal="center"/>
      <protection hidden="1"/>
    </xf>
    <xf numFmtId="0" fontId="31" fillId="0" borderId="26" xfId="0" applyFont="1" applyBorder="1" applyAlignment="1" applyProtection="1">
      <alignment horizontal="center"/>
      <protection hidden="1"/>
    </xf>
    <xf numFmtId="0" fontId="0" fillId="0" borderId="92" xfId="0" applyBorder="1" applyAlignment="1" applyProtection="1">
      <alignment horizontal="center"/>
      <protection hidden="1"/>
    </xf>
    <xf numFmtId="0" fontId="0" fillId="0" borderId="26" xfId="0" applyBorder="1" applyAlignment="1" applyProtection="1">
      <alignment horizontal="center"/>
      <protection hidden="1"/>
    </xf>
    <xf numFmtId="0" fontId="34" fillId="0" borderId="47" xfId="0" applyFont="1" applyBorder="1" applyAlignment="1" applyProtection="1">
      <alignment horizontal="left"/>
      <protection hidden="1"/>
    </xf>
    <xf numFmtId="0" fontId="34" fillId="0" borderId="92" xfId="0" applyFont="1" applyBorder="1" applyAlignment="1" applyProtection="1">
      <alignment horizontal="left"/>
      <protection hidden="1"/>
    </xf>
    <xf numFmtId="0" fontId="0" fillId="0" borderId="47" xfId="0" applyBorder="1" applyAlignment="1" applyProtection="1">
      <alignment horizontal="left" wrapText="1"/>
      <protection hidden="1"/>
    </xf>
    <xf numFmtId="0" fontId="0" fillId="0" borderId="92" xfId="0" applyBorder="1" applyAlignment="1" applyProtection="1">
      <alignment horizontal="left" wrapText="1"/>
      <protection hidden="1"/>
    </xf>
    <xf numFmtId="0" fontId="34" fillId="0" borderId="60" xfId="0" applyFont="1" applyBorder="1" applyAlignment="1" applyProtection="1">
      <alignment horizontal="left"/>
      <protection hidden="1"/>
    </xf>
    <xf numFmtId="0" fontId="34" fillId="0" borderId="47" xfId="0" applyFont="1" applyBorder="1" applyAlignment="1" applyProtection="1">
      <alignment horizontal="left" wrapText="1"/>
      <protection hidden="1"/>
    </xf>
    <xf numFmtId="0" fontId="34" fillId="0" borderId="92" xfId="0" applyFont="1" applyBorder="1" applyAlignment="1" applyProtection="1">
      <alignment horizontal="left" wrapText="1"/>
      <protection hidden="1"/>
    </xf>
    <xf numFmtId="0" fontId="36" fillId="60" borderId="47" xfId="83" applyFont="1" applyFill="1" applyBorder="1" applyAlignment="1" applyProtection="1">
      <alignment horizontal="center" vertical="center" wrapText="1"/>
      <protection hidden="1"/>
    </xf>
    <xf numFmtId="0" fontId="36" fillId="60" borderId="92" xfId="83" applyFont="1" applyFill="1" applyBorder="1" applyAlignment="1" applyProtection="1">
      <alignment horizontal="center" vertical="center" wrapText="1"/>
      <protection hidden="1"/>
    </xf>
    <xf numFmtId="0" fontId="36" fillId="60" borderId="60" xfId="83" applyFont="1" applyFill="1" applyBorder="1" applyAlignment="1" applyProtection="1">
      <alignment horizontal="center" vertical="center" wrapText="1"/>
      <protection hidden="1"/>
    </xf>
  </cellXfs>
  <cellStyles count="106">
    <cellStyle name="%" xfId="1"/>
    <cellStyle name="%_prova" xfId="2"/>
    <cellStyle name="_BTW_CNIPA_Allegato F1 Listino Prezzi_per Corghi - REVIEWED" xfId="3"/>
    <cellStyle name="_BTW_CNIPA_Allegato F1 Listino Prezzi_per Corghi - REVIEWED_22giu" xfId="4"/>
    <cellStyle name="_BTW_CNIPA_Allegato F1 Listino Prezzi_per Corghi - REVIEWED_22giu_ACC._QUADRO_RUPAR_SPC - All. 3.1 - Foglio di calcolo      Offerta Economica - Rev_1" xfId="5"/>
    <cellStyle name="_BTW_CNIPA_Allegato F1 Listino Prezzi_per Corghi - REVIEWED_22giu_listino" xfId="6"/>
    <cellStyle name="_BTW_CNIPA_Allegato F1 Listino Prezzi_per Corghi - REVIEWED_22giu_prova" xfId="7"/>
    <cellStyle name="_BTW_CNIPA_Allegato F1 Listino Prezzi_per Corghi - REVIEWED_ACC._QUADRO_RUPAR_SPC - All. 3.1 - Foglio di calcolo      Offerta Economica - Rev_1" xfId="8"/>
    <cellStyle name="_BTW_CNIPA_Allegato F1 Listino Prezzi_per Corghi - REVIEWED_listino" xfId="9"/>
    <cellStyle name="_BTW_CNIPA_Allegato F1 Listino Prezzi_per Corghi - REVIEWED_prova" xfId="10"/>
    <cellStyle name="0,0_x000d_&#10;NA_x000d_&#10;" xfId="11"/>
    <cellStyle name="20% - Accent1" xfId="12"/>
    <cellStyle name="20% - Accent2" xfId="13"/>
    <cellStyle name="20% - Accent3" xfId="14"/>
    <cellStyle name="20% - Accent4" xfId="15"/>
    <cellStyle name="20% - Accent5" xfId="16"/>
    <cellStyle name="20% - Accent6" xfId="17"/>
    <cellStyle name="20% - Colore 1" xfId="18" builtinId="30" customBuiltin="1"/>
    <cellStyle name="20% - Colore 2" xfId="19" builtinId="34" customBuiltin="1"/>
    <cellStyle name="20% - Colore 3" xfId="20" builtinId="38" customBuiltin="1"/>
    <cellStyle name="20% - Colore 4" xfId="21" builtinId="42" customBuiltin="1"/>
    <cellStyle name="20% - Colore 5" xfId="22" builtinId="46" customBuiltin="1"/>
    <cellStyle name="20% - Colore 6" xfId="23" builtinId="50" customBuiltin="1"/>
    <cellStyle name="40% - Accent1" xfId="24"/>
    <cellStyle name="40% - Accent2" xfId="25"/>
    <cellStyle name="40% - Accent3" xfId="26"/>
    <cellStyle name="40% - Accent4" xfId="27"/>
    <cellStyle name="40% - Accent5" xfId="28"/>
    <cellStyle name="40% - Accent6" xfId="29"/>
    <cellStyle name="40% - Colore 1" xfId="30" builtinId="31" customBuiltin="1"/>
    <cellStyle name="40% - Colore 2" xfId="31" builtinId="35" customBuiltin="1"/>
    <cellStyle name="40% - Colore 3" xfId="32" builtinId="39" customBuiltin="1"/>
    <cellStyle name="40% - Colore 4" xfId="33" builtinId="43" customBuiltin="1"/>
    <cellStyle name="40% - Colore 5" xfId="34" builtinId="47" customBuiltin="1"/>
    <cellStyle name="40% - Colore 6" xfId="35" builtinId="51" customBuiltin="1"/>
    <cellStyle name="60% - Accent1" xfId="36"/>
    <cellStyle name="60% - Accent2" xfId="37"/>
    <cellStyle name="60% - Accent3" xfId="38"/>
    <cellStyle name="60% - Accent4" xfId="39"/>
    <cellStyle name="60% - Accent5" xfId="40"/>
    <cellStyle name="60% - Accent6" xfId="41"/>
    <cellStyle name="60% - Colore 1" xfId="42" builtinId="32" customBuiltin="1"/>
    <cellStyle name="60% - Colore 2" xfId="43" builtinId="36" customBuiltin="1"/>
    <cellStyle name="60% - Colore 3" xfId="44" builtinId="40" customBuiltin="1"/>
    <cellStyle name="60% - Colore 4" xfId="45" builtinId="44" customBuiltin="1"/>
    <cellStyle name="60% - Colore 5" xfId="46" builtinId="48" customBuiltin="1"/>
    <cellStyle name="60% - Colore 6" xfId="47" builtinId="52" customBuiltin="1"/>
    <cellStyle name="Accent1" xfId="48"/>
    <cellStyle name="Accent2" xfId="49"/>
    <cellStyle name="Accent3" xfId="50"/>
    <cellStyle name="Accent4" xfId="51"/>
    <cellStyle name="Accent5" xfId="52"/>
    <cellStyle name="Accent6" xfId="53"/>
    <cellStyle name="Bad" xfId="54"/>
    <cellStyle name="Calcolo" xfId="55" builtinId="22" customBuiltin="1"/>
    <cellStyle name="Calculation" xfId="56"/>
    <cellStyle name="Cella collegata" xfId="57" builtinId="24" customBuiltin="1"/>
    <cellStyle name="Cella da controllare" xfId="58" builtinId="23" customBuiltin="1"/>
    <cellStyle name="Check Cell" xfId="59"/>
    <cellStyle name="Collegamento ipertestuale" xfId="60" builtinId="8"/>
    <cellStyle name="Colore 1" xfId="61" builtinId="29" customBuiltin="1"/>
    <cellStyle name="Colore 2" xfId="62" builtinId="33" customBuiltin="1"/>
    <cellStyle name="Colore 3" xfId="63" builtinId="37" customBuiltin="1"/>
    <cellStyle name="Colore 4" xfId="64" builtinId="41" customBuiltin="1"/>
    <cellStyle name="Colore 5" xfId="65" builtinId="45" customBuiltin="1"/>
    <cellStyle name="Colore 6" xfId="66" builtinId="49" customBuiltin="1"/>
    <cellStyle name="Euro" xfId="67"/>
    <cellStyle name="Euro 2" xfId="68"/>
    <cellStyle name="Euro_ACC._QUADRO_RUPAR_SPC - All. 3.1 - Foglio di calcolo      Offerta Economica - Rev_1" xfId="69"/>
    <cellStyle name="Explanatory Text" xfId="70"/>
    <cellStyle name="Good" xfId="71"/>
    <cellStyle name="Heading 1" xfId="72"/>
    <cellStyle name="Heading 2" xfId="73"/>
    <cellStyle name="Heading 3" xfId="74"/>
    <cellStyle name="Heading 4" xfId="75"/>
    <cellStyle name="Input" xfId="76" builtinId="20" customBuiltin="1"/>
    <cellStyle name="Linked Cell" xfId="77"/>
    <cellStyle name="Migliaia 2" xfId="78"/>
    <cellStyle name="Neutral" xfId="79"/>
    <cellStyle name="Neutrale" xfId="80" builtinId="28" customBuiltin="1"/>
    <cellStyle name="Normale" xfId="0" builtinId="0"/>
    <cellStyle name="Normale 2" xfId="81"/>
    <cellStyle name="Normale_ACC._QUADRO_RUPAR_SPC - All. 3.1 - Foglio di calcolo      Offerta Economica - Rev_1" xfId="82"/>
    <cellStyle name="Normale_listino" xfId="83"/>
    <cellStyle name="Normale_Piano dei Fabbisogni_2016_rev_7_mini" xfId="84"/>
    <cellStyle name="Nota" xfId="85" builtinId="10" customBuiltin="1"/>
    <cellStyle name="Note" xfId="86"/>
    <cellStyle name="Output" xfId="87" builtinId="21" customBuiltin="1"/>
    <cellStyle name="Percentuale 2" xfId="88"/>
    <cellStyle name="Stile 1" xfId="89"/>
    <cellStyle name="Testo avviso" xfId="90" builtinId="11" customBuiltin="1"/>
    <cellStyle name="Testo descrittivo" xfId="91" builtinId="53" customBuiltin="1"/>
    <cellStyle name="Title" xfId="92"/>
    <cellStyle name="Titolo" xfId="93" builtinId="15" customBuiltin="1"/>
    <cellStyle name="Titolo 1" xfId="94" builtinId="16" customBuiltin="1"/>
    <cellStyle name="Titolo 2" xfId="95" builtinId="17" customBuiltin="1"/>
    <cellStyle name="Titolo 3" xfId="96" builtinId="18" customBuiltin="1"/>
    <cellStyle name="Titolo 4" xfId="97" builtinId="19" customBuiltin="1"/>
    <cellStyle name="Total" xfId="98"/>
    <cellStyle name="Totale" xfId="99" builtinId="25" customBuiltin="1"/>
    <cellStyle name="Valore non valido" xfId="100" builtinId="27" customBuiltin="1"/>
    <cellStyle name="Valore valido" xfId="101" builtinId="26" customBuiltin="1"/>
    <cellStyle name="Valuta" xfId="102" builtinId="4"/>
    <cellStyle name="Valuta_listino" xfId="103"/>
    <cellStyle name="Valuta_Piano dei Fabbisogni_2016_rev_7_mini" xfId="104"/>
    <cellStyle name="Warning Text" xfId="105"/>
  </cellStyles>
  <dxfs count="3">
    <dxf>
      <fill>
        <patternFill patternType="solid">
          <fgColor indexed="22"/>
          <bgColor indexed="24"/>
        </patternFill>
      </fill>
    </dxf>
    <dxf>
      <fill>
        <patternFill patternType="solid">
          <fgColor indexed="22"/>
          <bgColor indexed="24"/>
        </patternFill>
      </fill>
    </dxf>
    <dxf>
      <fill>
        <patternFill patternType="solid">
          <fgColor indexed="22"/>
          <bgColor indexed="24"/>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BFBFB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I15"/>
  <sheetViews>
    <sheetView showGridLines="0" workbookViewId="0">
      <selection activeCell="D24" sqref="D24"/>
    </sheetView>
  </sheetViews>
  <sheetFormatPr defaultColWidth="9.28515625" defaultRowHeight="12.75"/>
  <cols>
    <col min="1" max="1" width="3.28515625" style="1" customWidth="1"/>
    <col min="2" max="2" width="3.5703125" style="2" customWidth="1"/>
    <col min="3" max="3" width="9.28515625" style="2" customWidth="1"/>
    <col min="4" max="4" width="109.28515625" style="3" customWidth="1"/>
    <col min="5" max="5" width="4.28515625" style="2" customWidth="1"/>
    <col min="6" max="16384" width="9.28515625" style="2"/>
  </cols>
  <sheetData>
    <row r="1" spans="2:9" ht="13.5" thickBot="1"/>
    <row r="2" spans="2:9">
      <c r="B2" s="4"/>
      <c r="C2" s="5"/>
      <c r="D2" s="6"/>
      <c r="E2" s="7"/>
    </row>
    <row r="3" spans="2:9">
      <c r="B3" s="8"/>
      <c r="C3" s="9" t="s">
        <v>472</v>
      </c>
      <c r="D3" s="10"/>
      <c r="E3" s="11"/>
    </row>
    <row r="4" spans="2:9" ht="100.5" customHeight="1">
      <c r="B4" s="8"/>
      <c r="C4" s="12"/>
      <c r="D4" s="191" t="s">
        <v>479</v>
      </c>
      <c r="E4" s="11"/>
    </row>
    <row r="5" spans="2:9" ht="88.5" customHeight="1">
      <c r="B5" s="8"/>
      <c r="C5" s="12"/>
      <c r="D5" s="192" t="s">
        <v>476</v>
      </c>
      <c r="E5" s="11"/>
    </row>
    <row r="6" spans="2:9">
      <c r="B6" s="8"/>
      <c r="C6" s="12"/>
      <c r="D6" s="10"/>
      <c r="E6" s="11"/>
    </row>
    <row r="7" spans="2:9" ht="15">
      <c r="B7" s="8"/>
      <c r="C7" s="9" t="s">
        <v>0</v>
      </c>
      <c r="D7" s="10"/>
      <c r="E7" s="11"/>
      <c r="I7" s="213"/>
    </row>
    <row r="8" spans="2:9" ht="15">
      <c r="B8" s="8"/>
      <c r="C8" s="12"/>
      <c r="D8" s="291" t="s">
        <v>1</v>
      </c>
      <c r="E8" s="11"/>
      <c r="I8" s="213"/>
    </row>
    <row r="9" spans="2:9">
      <c r="B9" s="8"/>
      <c r="C9" s="12"/>
      <c r="D9" s="291"/>
      <c r="E9" s="11"/>
    </row>
    <row r="10" spans="2:9" ht="49.5" customHeight="1">
      <c r="B10" s="8"/>
      <c r="C10" s="12"/>
      <c r="D10" s="291"/>
      <c r="E10" s="11"/>
    </row>
    <row r="11" spans="2:9">
      <c r="B11" s="8"/>
      <c r="C11" s="12"/>
      <c r="D11" s="13"/>
      <c r="E11" s="11"/>
    </row>
    <row r="12" spans="2:9">
      <c r="B12" s="8"/>
      <c r="C12" s="12"/>
      <c r="D12" s="13"/>
      <c r="E12" s="11"/>
    </row>
    <row r="13" spans="2:9">
      <c r="B13" s="8"/>
      <c r="C13" s="9" t="s">
        <v>478</v>
      </c>
      <c r="D13" s="13"/>
      <c r="E13" s="11"/>
    </row>
    <row r="14" spans="2:9">
      <c r="B14" s="8"/>
      <c r="C14" s="12"/>
      <c r="D14" s="125" t="s">
        <v>477</v>
      </c>
      <c r="E14" s="11"/>
    </row>
    <row r="15" spans="2:9" ht="13.5" thickBot="1">
      <c r="B15" s="16"/>
      <c r="C15" s="17"/>
      <c r="D15" s="18"/>
      <c r="E15" s="19"/>
    </row>
  </sheetData>
  <sheetProtection sheet="1" objects="1" scenarios="1"/>
  <mergeCells count="1">
    <mergeCell ref="D8:D10"/>
  </mergeCells>
  <phoneticPr fontId="21" type="noConversion"/>
  <pageMargins left="0.78749999999999998" right="0.78749999999999998" top="0.78749999999999998" bottom="0.78749999999999998" header="0.51180555555555551" footer="0.51180555555555551"/>
  <pageSetup paperSize="9" firstPageNumber="0" orientation="landscape" horizontalDpi="300" verticalDpi="300" r:id="rId1"/>
  <headerFooter alignWithMargins="0"/>
</worksheet>
</file>

<file path=xl/worksheets/sheet10.xml><?xml version="1.0" encoding="utf-8"?>
<worksheet xmlns="http://schemas.openxmlformats.org/spreadsheetml/2006/main" xmlns:r="http://schemas.openxmlformats.org/officeDocument/2006/relationships">
  <sheetPr>
    <pageSetUpPr fitToPage="1"/>
  </sheetPr>
  <dimension ref="B1:O10"/>
  <sheetViews>
    <sheetView tabSelected="1" zoomScale="85" workbookViewId="0">
      <selection activeCell="N27" sqref="N27"/>
    </sheetView>
  </sheetViews>
  <sheetFormatPr defaultColWidth="9.28515625" defaultRowHeight="12.75"/>
  <cols>
    <col min="1" max="1" width="2.7109375" style="46" customWidth="1"/>
    <col min="2" max="2" width="27.5703125" style="46" customWidth="1"/>
    <col min="3" max="12" width="12.5703125" style="46" customWidth="1"/>
    <col min="13" max="17" width="15.5703125" style="46" customWidth="1"/>
    <col min="18" max="16384" width="9.28515625" style="46"/>
  </cols>
  <sheetData>
    <row r="1" spans="2:15" ht="6" customHeight="1" thickBot="1"/>
    <row r="2" spans="2:15" ht="25.5" customHeight="1" thickBot="1">
      <c r="B2" s="211" t="s">
        <v>475</v>
      </c>
      <c r="C2" s="212">
        <v>60</v>
      </c>
    </row>
    <row r="3" spans="2:15" ht="25.5" customHeight="1" thickBot="1">
      <c r="B3" s="47"/>
      <c r="D3" s="48"/>
    </row>
    <row r="4" spans="2:15" s="48" customFormat="1" ht="36" customHeight="1">
      <c r="C4" s="403" t="s">
        <v>439</v>
      </c>
      <c r="D4" s="404"/>
      <c r="E4" s="405" t="s">
        <v>440</v>
      </c>
      <c r="F4" s="405"/>
      <c r="G4" s="406" t="s">
        <v>441</v>
      </c>
      <c r="H4" s="406"/>
      <c r="I4" s="407" t="s">
        <v>442</v>
      </c>
      <c r="J4" s="407"/>
      <c r="K4" s="398" t="s">
        <v>443</v>
      </c>
      <c r="L4" s="399"/>
      <c r="M4" s="400" t="s">
        <v>473</v>
      </c>
      <c r="N4" s="401"/>
      <c r="O4" s="402"/>
    </row>
    <row r="5" spans="2:15" ht="39" thickBot="1">
      <c r="B5" s="195"/>
      <c r="C5" s="197" t="s">
        <v>25</v>
      </c>
      <c r="D5" s="196" t="s">
        <v>438</v>
      </c>
      <c r="E5" s="196" t="s">
        <v>25</v>
      </c>
      <c r="F5" s="196" t="s">
        <v>438</v>
      </c>
      <c r="G5" s="196" t="s">
        <v>25</v>
      </c>
      <c r="H5" s="196" t="s">
        <v>438</v>
      </c>
      <c r="I5" s="196" t="s">
        <v>25</v>
      </c>
      <c r="J5" s="196" t="s">
        <v>438</v>
      </c>
      <c r="K5" s="196" t="s">
        <v>25</v>
      </c>
      <c r="L5" s="198" t="s">
        <v>438</v>
      </c>
      <c r="M5" s="204" t="s">
        <v>25</v>
      </c>
      <c r="N5" s="196" t="s">
        <v>438</v>
      </c>
      <c r="O5" s="198" t="s">
        <v>474</v>
      </c>
    </row>
    <row r="6" spans="2:15" ht="25.5" customHeight="1">
      <c r="B6" s="209" t="s">
        <v>455</v>
      </c>
      <c r="C6" s="214">
        <f>'Riepilogo Fabbisogni'!B144</f>
        <v>2640</v>
      </c>
      <c r="D6" s="215">
        <f>'Riepilogo Fabbisogni'!G144</f>
        <v>2175.8000000000002</v>
      </c>
      <c r="E6" s="215">
        <f>'Riepilogo Fabbisogni'!C144</f>
        <v>442.9</v>
      </c>
      <c r="F6" s="215">
        <f>'Riepilogo Fabbisogni'!H144</f>
        <v>10.74</v>
      </c>
      <c r="G6" s="215">
        <f>'Riepilogo Fabbisogni'!D144</f>
        <v>7800</v>
      </c>
      <c r="H6" s="215">
        <f>'Riepilogo Fabbisogni'!I144</f>
        <v>268.15999999999997</v>
      </c>
      <c r="I6" s="215">
        <f>'Riepilogo Fabbisogni'!E144</f>
        <v>0</v>
      </c>
      <c r="J6" s="215">
        <f>'Riepilogo Fabbisogni'!J144</f>
        <v>0</v>
      </c>
      <c r="K6" s="215">
        <f>'Riepilogo Fabbisogni'!F144</f>
        <v>0</v>
      </c>
      <c r="L6" s="208"/>
      <c r="M6" s="205">
        <f>C6+E6+G6+I6+K6</f>
        <v>10882.9</v>
      </c>
      <c r="N6" s="199">
        <f>D6+F6+H6+J6</f>
        <v>2454.6999999999998</v>
      </c>
      <c r="O6" s="201">
        <f>M6+N6*$C$2</f>
        <v>158164.9</v>
      </c>
    </row>
    <row r="7" spans="2:15" ht="25.5" customHeight="1">
      <c r="B7" s="210" t="s">
        <v>456</v>
      </c>
      <c r="C7" s="216">
        <f>'Riepilogo Fabbisogni'!B145</f>
        <v>1601.52</v>
      </c>
      <c r="D7" s="217">
        <f>'Riepilogo Fabbisogni'!G145</f>
        <v>2664.6</v>
      </c>
      <c r="E7" s="217">
        <f>'Riepilogo Fabbisogni'!C145</f>
        <v>20.45</v>
      </c>
      <c r="F7" s="217">
        <f>'Riepilogo Fabbisogni'!H145</f>
        <v>20.2</v>
      </c>
      <c r="G7" s="217">
        <f>'Riepilogo Fabbisogni'!D145</f>
        <v>106</v>
      </c>
      <c r="H7" s="217">
        <f>'Riepilogo Fabbisogni'!I145</f>
        <v>528</v>
      </c>
      <c r="I7" s="217">
        <f>'Riepilogo Fabbisogni'!E145</f>
        <v>0</v>
      </c>
      <c r="J7" s="217">
        <f>'Riepilogo Fabbisogni'!J145</f>
        <v>0</v>
      </c>
      <c r="K7" s="217">
        <f>'Riepilogo Fabbisogni'!F145</f>
        <v>0</v>
      </c>
      <c r="L7" s="189"/>
      <c r="M7" s="206">
        <f t="shared" ref="M7:M10" si="0">C7+E7+G7+I7+K7</f>
        <v>1727.97</v>
      </c>
      <c r="N7" s="121">
        <f t="shared" ref="N7:N10" si="1">D7+F7+H7+J7</f>
        <v>3212.7999999999997</v>
      </c>
      <c r="O7" s="202">
        <f t="shared" ref="O7:O10" si="2">M7+N7*$C$2</f>
        <v>194495.96999999997</v>
      </c>
    </row>
    <row r="8" spans="2:15" ht="25.5" customHeight="1">
      <c r="B8" s="210" t="s">
        <v>510</v>
      </c>
      <c r="C8" s="216">
        <f>'Riepilogo Fabbisogni'!B146</f>
        <v>3049.3999999999996</v>
      </c>
      <c r="D8" s="217">
        <f>'Riepilogo Fabbisogni'!G146</f>
        <v>1975.6999999999998</v>
      </c>
      <c r="E8" s="217">
        <f>'Riepilogo Fabbisogni'!C146</f>
        <v>67</v>
      </c>
      <c r="F8" s="217">
        <f>'Riepilogo Fabbisogni'!H146</f>
        <v>8.86</v>
      </c>
      <c r="G8" s="217">
        <f>'Riepilogo Fabbisogni'!D146</f>
        <v>500</v>
      </c>
      <c r="H8" s="217">
        <f>'Riepilogo Fabbisogni'!I146</f>
        <v>354.86</v>
      </c>
      <c r="I8" s="217">
        <f>'Riepilogo Fabbisogni'!E146</f>
        <v>0</v>
      </c>
      <c r="J8" s="217">
        <f>'Riepilogo Fabbisogni'!J146</f>
        <v>0</v>
      </c>
      <c r="K8" s="217">
        <f>'Riepilogo Fabbisogni'!F146</f>
        <v>0</v>
      </c>
      <c r="L8" s="189"/>
      <c r="M8" s="206">
        <f t="shared" si="0"/>
        <v>3616.3999999999996</v>
      </c>
      <c r="N8" s="121">
        <f t="shared" si="1"/>
        <v>2339.4199999999996</v>
      </c>
      <c r="O8" s="202">
        <f t="shared" si="2"/>
        <v>143981.59999999998</v>
      </c>
    </row>
    <row r="9" spans="2:15" ht="25.5" customHeight="1">
      <c r="B9" s="210" t="s">
        <v>457</v>
      </c>
      <c r="C9" s="216">
        <f>'Riepilogo Fabbisogni'!B147</f>
        <v>4009.8</v>
      </c>
      <c r="D9" s="217">
        <f>'Riepilogo Fabbisogni'!G147</f>
        <v>2268.3000000000002</v>
      </c>
      <c r="E9" s="217">
        <f>'Riepilogo Fabbisogni'!C147</f>
        <v>38.119999999999997</v>
      </c>
      <c r="F9" s="217">
        <f>'Riepilogo Fabbisogni'!H147</f>
        <v>19.059999999999999</v>
      </c>
      <c r="G9" s="217">
        <f>'Riepilogo Fabbisogni'!D147</f>
        <v>1040</v>
      </c>
      <c r="H9" s="217">
        <f>'Riepilogo Fabbisogni'!I147</f>
        <v>260</v>
      </c>
      <c r="I9" s="217">
        <f>'Riepilogo Fabbisogni'!E147</f>
        <v>0</v>
      </c>
      <c r="J9" s="217">
        <f>'Riepilogo Fabbisogni'!J147</f>
        <v>0</v>
      </c>
      <c r="K9" s="217">
        <f>'Riepilogo Fabbisogni'!F147</f>
        <v>0</v>
      </c>
      <c r="L9" s="189"/>
      <c r="M9" s="206">
        <f t="shared" si="0"/>
        <v>5087.92</v>
      </c>
      <c r="N9" s="121">
        <f t="shared" si="1"/>
        <v>2547.36</v>
      </c>
      <c r="O9" s="202">
        <f t="shared" si="2"/>
        <v>157929.52000000002</v>
      </c>
    </row>
    <row r="10" spans="2:15" ht="25.5" customHeight="1" thickBot="1">
      <c r="B10" s="277" t="s">
        <v>511</v>
      </c>
      <c r="C10" s="218">
        <f>'Riepilogo Fabbisogni'!B148</f>
        <v>5700</v>
      </c>
      <c r="D10" s="219">
        <f>'Riepilogo Fabbisogni'!G148</f>
        <v>4310</v>
      </c>
      <c r="E10" s="219">
        <f>'Riepilogo Fabbisogni'!C148</f>
        <v>0</v>
      </c>
      <c r="F10" s="219">
        <f>'Riepilogo Fabbisogni'!H148</f>
        <v>22</v>
      </c>
      <c r="G10" s="219">
        <f>'Riepilogo Fabbisogni'!D148</f>
        <v>200</v>
      </c>
      <c r="H10" s="219">
        <f>'Riepilogo Fabbisogni'!I148</f>
        <v>89</v>
      </c>
      <c r="I10" s="219">
        <f>'Riepilogo Fabbisogni'!E148</f>
        <v>0</v>
      </c>
      <c r="J10" s="219">
        <f>'Riepilogo Fabbisogni'!J148</f>
        <v>0</v>
      </c>
      <c r="K10" s="219">
        <f>'Riepilogo Fabbisogni'!F148</f>
        <v>0</v>
      </c>
      <c r="L10" s="190"/>
      <c r="M10" s="207">
        <f t="shared" si="0"/>
        <v>5900</v>
      </c>
      <c r="N10" s="200">
        <f t="shared" si="1"/>
        <v>4421</v>
      </c>
      <c r="O10" s="203">
        <f t="shared" si="2"/>
        <v>271160</v>
      </c>
    </row>
  </sheetData>
  <sheetProtection sheet="1" objects="1" scenarios="1"/>
  <mergeCells count="6">
    <mergeCell ref="K4:L4"/>
    <mergeCell ref="M4:O4"/>
    <mergeCell ref="C4:D4"/>
    <mergeCell ref="E4:F4"/>
    <mergeCell ref="G4:H4"/>
    <mergeCell ref="I4:J4"/>
  </mergeCells>
  <phoneticPr fontId="21" type="noConversion"/>
  <dataValidations count="1">
    <dataValidation type="whole" allowBlank="1" showErrorMessage="1" sqref="C3">
      <formula1>0</formula1>
      <formula2>12</formula2>
    </dataValidation>
  </dataValidations>
  <pageMargins left="0.74791666666666667" right="0.74791666666666667" top="0.98402777777777772" bottom="0.98402777777777772" header="0.51180555555555551" footer="0.51180555555555551"/>
  <pageSetup paperSize="9" scale="66" firstPageNumber="0" fitToHeight="0" orientation="landscape" horizontalDpi="300" verticalDpi="300" r:id="rId1"/>
  <headerFooter alignWithMargins="0"/>
</worksheet>
</file>

<file path=xl/worksheets/sheet11.xml><?xml version="1.0" encoding="utf-8"?>
<worksheet xmlns="http://schemas.openxmlformats.org/spreadsheetml/2006/main" xmlns:r="http://schemas.openxmlformats.org/officeDocument/2006/relationships">
  <sheetPr>
    <pageSetUpPr fitToPage="1"/>
  </sheetPr>
  <dimension ref="A1:X152"/>
  <sheetViews>
    <sheetView showGridLines="0" showZeros="0" topLeftCell="A10" zoomScale="70" zoomScaleNormal="70" workbookViewId="0">
      <selection activeCell="E30" sqref="E30"/>
    </sheetView>
  </sheetViews>
  <sheetFormatPr defaultColWidth="10.5703125" defaultRowHeight="12.75"/>
  <cols>
    <col min="1" max="1" width="17" style="245" customWidth="1"/>
    <col min="2" max="16384" width="10.5703125" style="245"/>
  </cols>
  <sheetData>
    <row r="1" spans="1:24" s="237" customFormat="1" ht="13.15" customHeight="1">
      <c r="A1" s="235" t="s">
        <v>211</v>
      </c>
      <c r="B1" s="236"/>
      <c r="C1" s="236"/>
      <c r="D1" s="236"/>
      <c r="E1" s="236"/>
      <c r="F1" s="236"/>
      <c r="G1" s="236"/>
      <c r="H1" s="236"/>
      <c r="I1" s="236"/>
      <c r="J1" s="236"/>
      <c r="K1" s="236"/>
      <c r="L1" s="236"/>
      <c r="M1" s="409" t="s">
        <v>455</v>
      </c>
      <c r="N1" s="409"/>
      <c r="O1" s="411" t="s">
        <v>456</v>
      </c>
      <c r="P1" s="409"/>
      <c r="Q1" s="411" t="s">
        <v>510</v>
      </c>
      <c r="R1" s="409"/>
      <c r="S1" s="411" t="s">
        <v>457</v>
      </c>
      <c r="T1" s="409"/>
      <c r="U1" s="411" t="s">
        <v>511</v>
      </c>
      <c r="V1" s="409"/>
      <c r="W1" s="409" t="s">
        <v>470</v>
      </c>
      <c r="X1" s="409"/>
    </row>
    <row r="2" spans="1:24" s="52" customFormat="1" ht="63.75">
      <c r="A2" s="238" t="s">
        <v>212</v>
      </c>
      <c r="B2" s="239" t="s">
        <v>213</v>
      </c>
      <c r="C2" s="239" t="s">
        <v>76</v>
      </c>
      <c r="D2" s="239" t="s">
        <v>77</v>
      </c>
      <c r="E2" s="239" t="s">
        <v>22</v>
      </c>
      <c r="F2" s="239" t="s">
        <v>447</v>
      </c>
      <c r="G2" s="239" t="s">
        <v>214</v>
      </c>
      <c r="H2" s="239" t="s">
        <v>86</v>
      </c>
      <c r="I2" s="239" t="s">
        <v>87</v>
      </c>
      <c r="J2" s="239" t="s">
        <v>88</v>
      </c>
      <c r="K2" s="239" t="s">
        <v>89</v>
      </c>
      <c r="L2" s="240" t="s">
        <v>90</v>
      </c>
      <c r="M2" s="240" t="s">
        <v>25</v>
      </c>
      <c r="N2" s="240" t="s">
        <v>454</v>
      </c>
      <c r="O2" s="240" t="s">
        <v>25</v>
      </c>
      <c r="P2" s="240" t="s">
        <v>454</v>
      </c>
      <c r="Q2" s="240" t="s">
        <v>25</v>
      </c>
      <c r="R2" s="240" t="s">
        <v>454</v>
      </c>
      <c r="S2" s="240" t="s">
        <v>25</v>
      </c>
      <c r="T2" s="240" t="s">
        <v>454</v>
      </c>
      <c r="U2" s="240" t="s">
        <v>25</v>
      </c>
      <c r="V2" s="240" t="s">
        <v>454</v>
      </c>
      <c r="W2" s="240" t="s">
        <v>25</v>
      </c>
      <c r="X2" s="240" t="s">
        <v>454</v>
      </c>
    </row>
    <row r="3" spans="1:24" s="244" customFormat="1" ht="12.75" customHeight="1">
      <c r="A3" s="241">
        <v>1</v>
      </c>
      <c r="B3" s="242" t="str">
        <f>'Servizi di Trasporto Dati'!D5</f>
        <v>STDO-5</v>
      </c>
      <c r="C3" s="242" t="str">
        <f>'Servizi di Trasporto Dati'!E5</f>
        <v>si</v>
      </c>
      <c r="D3" s="242" t="str">
        <f>IF(AND('Servizi di Trasporto Dati'!F5="Si",'Servizi di Trasporto Dati'!G5&lt;&gt;"Si"),"Si","")</f>
        <v/>
      </c>
      <c r="E3" s="242" t="str">
        <f>IF(AND('Servizi di Trasporto Dati'!F5&lt;&gt;"Si",'Servizi di Trasporto Dati'!G5="Si"),"Si","")</f>
        <v/>
      </c>
      <c r="F3" s="242" t="str">
        <f>IF(AND('Servizi di Trasporto Dati'!F5="Si",'Servizi di Trasporto Dati'!G5="Si"),"Si","")</f>
        <v/>
      </c>
      <c r="G3" s="242">
        <f>'Servizi di Trasporto Dati'!H5</f>
        <v>0</v>
      </c>
      <c r="H3" s="242">
        <f>'Servizi di Trasporto Dati'!I5</f>
        <v>20</v>
      </c>
      <c r="I3" s="242">
        <f>'Servizi di Trasporto Dati'!J5</f>
        <v>0</v>
      </c>
      <c r="J3" s="242">
        <f>'Servizi di Trasporto Dati'!K5</f>
        <v>20</v>
      </c>
      <c r="K3" s="242">
        <f>'Servizi di Trasporto Dati'!L5</f>
        <v>0</v>
      </c>
      <c r="L3" s="243">
        <f>'Servizi di Trasporto Dati'!M5</f>
        <v>0</v>
      </c>
      <c r="M3" s="50">
        <f>IF($B3&lt;&gt;0,VLOOKUP($B3,Listini!$A$3:$V$44,3,FALSE)*(1+IF($D3="Si",(Listini!$E$46-100)/100,0)+IF($F3="Si",(Listini!$E$48-100)/100,0)),0)</f>
        <v>2400</v>
      </c>
      <c r="N3" s="50">
        <f>IF($B3&lt;&gt;0,(VLOOKUP($B3,Listini!$A$2:$V$44,4,FALSE)+IF($C3="Si",Listini!$D$45,0)+IF($G3&lt;&gt;0,VLOOKUP($G3,Listini!$A$54:$V$57,4,FALSE),0))*(1+IF($D3="Si",(Listini!$F$46-100)/100,0)+IF($E3="Si",(Listini!$F$47-100)/100,0)+IF($F3="Si",(Listini!$F$48-100)/100,0))+$H3*Listini!$D$49+'Riepilogo Fabbisogni'!I3*Listini!$D$50+'Riepilogo Fabbisogni'!J3*Listini!$D$51+'Riepilogo Fabbisogni'!K3*Listini!$D$52+$L3*Listini!$D$53,0)</f>
        <v>2045.8</v>
      </c>
      <c r="O3" s="50">
        <f>IF($B3&lt;&gt;0,VLOOKUP($B3,Listini!$A$3:$V$44,7,FALSE)*(1+IF($D3="Si",(Listini!$I$46-100)/100,0)+IF($F3="Si",(Listini!$I$48-100)/100,0)),0)</f>
        <v>917.86</v>
      </c>
      <c r="P3" s="50">
        <f>IF($B3&lt;&gt;0,(VLOOKUP($B3,Listini!$A$2:$V$44,8,FALSE)+IF($C3="Si",Listini!$H$45,0)+IF($G3&lt;&gt;0,VLOOKUP($G3,Listini!$A$54:$V$57,8,FALSE),0))*(1+IF($D3="Si",(Listini!$J$46-100)/100,0)+IF($E3="Si",(Listini!$J$47-100)/100,0)+IF($F3="Si",(Listini!$J$48-100)/100,0))+$H3*Listini!$H$49+'Riepilogo Fabbisogni'!I3*Listini!$H$50+'Riepilogo Fabbisogni'!J3*Listini!$H$51+'Riepilogo Fabbisogni'!K3*Listini!$H$52+$L3*Listini!$H$53,0)</f>
        <v>2014.6</v>
      </c>
      <c r="Q3" s="50">
        <f>IF($B3&lt;&gt;0,VLOOKUP($B3,Listini!$A$3:$V$44,11,FALSE)*(1+IF($D3="Si",(Listini!$M$46-100)/100,0)+IF($F3="Si",(Listini!$M$48-100)/100,0)),0)</f>
        <v>2679.12</v>
      </c>
      <c r="R3" s="50">
        <f>IF($B3&lt;&gt;0,(VLOOKUP($B3,Listini!$A$2:$V$44,12,FALSE)+IF($C3="Si",Listini!$L$45,0)+IF($G3&lt;&gt;0,VLOOKUP($G3,Listini!$A$54:$V$57,12,FALSE),0))*(1+IF($D3="Si",(Listini!$N$46-100)/100,0)+IF($E3="Si",(Listini!$N$47-100)/100,0)+IF($F3="Si",(Listini!$N$48-100)/100,0))+$H3*Listini!$L$49+'Riepilogo Fabbisogni'!I3*Listini!$L$50+'Riepilogo Fabbisogni'!J3*Listini!$L$51+'Riepilogo Fabbisogni'!K3*Listini!$L$52+$L3*Listini!$L$53,0)</f>
        <v>1790.56</v>
      </c>
      <c r="S3" s="244">
        <f>IF($B3&lt;&gt;0,VLOOKUP($B3,Listini!$A$3:$V$44,15,FALSE)*(1+IF($D3="Si",(Listini!$Q$46-100)/100,0)+IF($F3="Si",(Listini!$Q$48-100)/100,0)),0)</f>
        <v>1804.8</v>
      </c>
      <c r="T3" s="244">
        <f>IF($B3&lt;&gt;0,(VLOOKUP($B3,Listini!$A$2:$V$44,16,FALSE)+IF($C3="Si",Listini!$P$45,0)+IF($G3&lt;&gt;0,VLOOKUP($G3,Listini!$A$54:$V$57,16,FALSE),0))*(1+IF($D3="Si",(Listini!$R$46-100)/100,0)+IF($E3="Si",(Listini!$R$47-100)/100,0)+IF($F3="Si",(Listini!$R$48-100)/100,0))+$H3*Listini!$P$49+'Riepilogo Fabbisogni'!I3*Listini!$P$50+'Riepilogo Fabbisogni'!J3*Listini!$P$51+'Riepilogo Fabbisogni'!K3*Listini!$P$52+$L3*Listini!$P$53,0)</f>
        <v>1165.8</v>
      </c>
      <c r="U3" s="244">
        <f>IF($B3&lt;&gt;0,VLOOKUP($B3,Listini!$A$3:$V$44,19,FALSE)*(1+IF($D3="Si",(Listini!$U$46-100)/100,0)+IF($F3="Si",(Listini!$U$48-100)/100,0)),0)</f>
        <v>5200</v>
      </c>
      <c r="V3" s="244">
        <f>IF($B3&lt;&gt;0,(VLOOKUP($B3,Listini!$A$2:$V$44,20,FALSE)+IF($C3="Si",Listini!$T$45,0)+IF($G3&lt;&gt;0,VLOOKUP($G3,Listini!$A$54:$V$57,20,FALSE),0))*(1+IF($D3="Si",(Listini!$V$46-100)/100,0)+IF($E3="Si",(Listini!$V$47-100)/100,0)+IF($F3="Si",(Listini!$V$48-100)/100,0))+$H3*Listini!$T$49+'Riepilogo Fabbisogni'!I3*Listini!$T$50+'Riepilogo Fabbisogni'!J3*Listini!$T$51+'Riepilogo Fabbisogni'!K3*Listini!$T$52+$L3*Listini!$T$53,0)</f>
        <v>2810</v>
      </c>
      <c r="W3" s="244">
        <f>IF($B3&lt;&gt;0,VLOOKUP($B3,'Listino Offerta'!$A$2:$F$44,3,FALSE)*(1+IF($D3="Si",('Listino Offerta'!$E$46-100)/100,0)+IF($F3="Si",('Listino Offerta'!$E$48-100)/100,0)),0)</f>
        <v>0</v>
      </c>
      <c r="X3" s="244">
        <f>IF($B3&lt;&gt;0,(VLOOKUP($B3,'Listino Offerta'!$A$2:$F$44,4,FALSE)+IF($C3="Si",'Listino Offerta'!$D$45,0)+IF($G3&lt;&gt;0,VLOOKUP($G3,'Listino Offerta'!$A$54:$F$57,4,FALSE),0))*(1+IF($D3="Si",('Listino Offerta'!$F$46-100)/100,0)+IF($E3="Si",('Listino Offerta'!$F$47-100)/100,0)+IF($F3="Si",('Listino Offerta'!$F$48-100)/100,0))+$H3*'Listino Offerta'!$D$49+'Riepilogo Fabbisogni'!I3*'Listino Offerta'!$D$50+'Riepilogo Fabbisogni'!J3*'Listino Offerta'!$D$51+'Riepilogo Fabbisogni'!K3*'Listino Offerta'!$D$52+$L3*'Listino Offerta'!$D$53,0)</f>
        <v>0</v>
      </c>
    </row>
    <row r="4" spans="1:24" s="244" customFormat="1" ht="12.75" customHeight="1">
      <c r="A4" s="241">
        <v>2</v>
      </c>
      <c r="B4" s="242" t="str">
        <f>'Servizi di Trasporto Dati'!D6</f>
        <v>STDH-5</v>
      </c>
      <c r="C4" s="242">
        <f>'Servizi di Trasporto Dati'!E6</f>
        <v>0</v>
      </c>
      <c r="D4" s="242" t="str">
        <f>IF(AND('Servizi di Trasporto Dati'!F6="Si",'Servizi di Trasporto Dati'!G6&lt;&gt;"Si"),"Si","")</f>
        <v/>
      </c>
      <c r="E4" s="242" t="str">
        <f>IF(AND('Servizi di Trasporto Dati'!F6&lt;&gt;"Si",'Servizi di Trasporto Dati'!G6="Si"),"Si","")</f>
        <v/>
      </c>
      <c r="F4" s="242" t="str">
        <f>IF(AND('Servizi di Trasporto Dati'!F6="Si",'Servizi di Trasporto Dati'!G6="Si"),"Si","")</f>
        <v/>
      </c>
      <c r="G4" s="242">
        <f>'Servizi di Trasporto Dati'!H6</f>
        <v>0</v>
      </c>
      <c r="H4" s="242">
        <f>'Servizi di Trasporto Dati'!I6</f>
        <v>0</v>
      </c>
      <c r="I4" s="242">
        <f>'Servizi di Trasporto Dati'!J6</f>
        <v>0</v>
      </c>
      <c r="J4" s="242">
        <f>'Servizi di Trasporto Dati'!K6</f>
        <v>0</v>
      </c>
      <c r="K4" s="242">
        <f>'Servizi di Trasporto Dati'!L6</f>
        <v>0</v>
      </c>
      <c r="L4" s="243">
        <f>'Servizi di Trasporto Dati'!M6</f>
        <v>0</v>
      </c>
      <c r="M4" s="50">
        <f>IF($B4&lt;&gt;0,VLOOKUP($B4,Listini!$A$3:$V$44,3,FALSE)*(1+IF($D4="Si",(Listini!$E$46-100)/100,0)+IF($F4="Si",(Listini!$E$48-100)/100,0)),0)</f>
        <v>240</v>
      </c>
      <c r="N4" s="50">
        <f>IF($B4&lt;&gt;0,(VLOOKUP($B4,Listini!$A$2:$V$44,4,FALSE)+IF($C4="Si",Listini!$D$45,0)+IF($G4&lt;&gt;0,VLOOKUP($G4,Listini!$A$54:$V$57,4,FALSE),0))*(1+IF($D4="Si",(Listini!$F$46-100)/100,0)+IF($E4="Si",(Listini!$F$47-100)/100,0)+IF($F4="Si",(Listini!$F$48-100)/100,0))+$H4*Listini!$D$49+'Riepilogo Fabbisogni'!I4*Listini!$D$50+'Riepilogo Fabbisogni'!J4*Listini!$D$51+'Riepilogo Fabbisogni'!K4*Listini!$D$52+$L4*Listini!$D$53,0)</f>
        <v>130</v>
      </c>
      <c r="O4" s="50">
        <f>IF($B4&lt;&gt;0,VLOOKUP($B4,Listini!$A$3:$V$44,7,FALSE)*(1+IF($D4="Si",(Listini!$I$46-100)/100,0)+IF($F4="Si",(Listini!$I$48-100)/100,0)),0)</f>
        <v>683.66</v>
      </c>
      <c r="P4" s="50">
        <f>IF($B4&lt;&gt;0,(VLOOKUP($B4,Listini!$A$2:$V$44,8,FALSE)+IF($C4="Si",Listini!$H$45,0)+IF($G4&lt;&gt;0,VLOOKUP($G4,Listini!$A$54:$V$57,8,FALSE),0))*(1+IF($D4="Si",(Listini!$J$46-100)/100,0)+IF($E4="Si",(Listini!$J$47-100)/100,0)+IF($F4="Si",(Listini!$J$48-100)/100,0))+$H4*Listini!$H$49+'Riepilogo Fabbisogni'!I4*Listini!$H$50+'Riepilogo Fabbisogni'!J4*Listini!$H$51+'Riepilogo Fabbisogni'!K4*Listini!$H$52+$L4*Listini!$H$53,0)</f>
        <v>650</v>
      </c>
      <c r="Q4" s="50">
        <f>IF($B4&lt;&gt;0,VLOOKUP($B4,Listini!$A$3:$V$44,11,FALSE)*(1+IF($D4="Si",(Listini!$M$46-100)/100,0)+IF($F4="Si",(Listini!$M$48-100)/100,0)),0)</f>
        <v>370.28</v>
      </c>
      <c r="R4" s="50">
        <f>IF($B4&lt;&gt;0,(VLOOKUP($B4,Listini!$A$2:$V$44,12,FALSE)+IF($C4="Si",Listini!$L$45,0)+IF($G4&lt;&gt;0,VLOOKUP($G4,Listini!$A$54:$V$57,12,FALSE),0))*(1+IF($D4="Si",(Listini!$N$46-100)/100,0)+IF($E4="Si",(Listini!$N$47-100)/100,0)+IF($F4="Si",(Listini!$N$48-100)/100,0))+$H4*Listini!$L$49+'Riepilogo Fabbisogni'!I4*Listini!$L$50+'Riepilogo Fabbisogni'!J4*Listini!$L$51+'Riepilogo Fabbisogni'!K4*Listini!$L$52+$L4*Listini!$L$53,0)</f>
        <v>185.14</v>
      </c>
      <c r="S4" s="244">
        <f>IF($B4&lt;&gt;0,VLOOKUP($B4,Listini!$A$3:$V$44,15,FALSE)*(1+IF($D4="Si",(Listini!$Q$46-100)/100,0)+IF($F4="Si",(Listini!$Q$48-100)/100,0)),0)</f>
        <v>2205</v>
      </c>
      <c r="T4" s="244">
        <f>IF($B4&lt;&gt;0,(VLOOKUP($B4,Listini!$A$2:$V$44,16,FALSE)+IF($C4="Si",Listini!$P$45,0)+IF($G4&lt;&gt;0,VLOOKUP($G4,Listini!$A$54:$V$57,16,FALSE),0))*(1+IF($D4="Si",(Listini!$R$46-100)/100,0)+IF($E4="Si",(Listini!$R$47-100)/100,0)+IF($F4="Si",(Listini!$R$48-100)/100,0))+$H4*Listini!$P$49+'Riepilogo Fabbisogni'!I4*Listini!$P$50+'Riepilogo Fabbisogni'!J4*Listini!$P$51+'Riepilogo Fabbisogni'!K4*Listini!$P$52+$L4*Listini!$P$53,0)</f>
        <v>1102.5</v>
      </c>
      <c r="U4" s="244">
        <f>IF($B4&lt;&gt;0,VLOOKUP($B4,Listini!$A$3:$V$44,19,FALSE)*(1+IF($D4="Si",(Listini!$U$46-100)/100,0)+IF($F4="Si",(Listini!$U$48-100)/100,0)),0)</f>
        <v>500</v>
      </c>
      <c r="V4" s="244">
        <f>IF($B4&lt;&gt;0,(VLOOKUP($B4,Listini!$A$2:$V$44,20,FALSE)+IF($C4="Si",Listini!$T$45,0)+IF($G4&lt;&gt;0,VLOOKUP($G4,Listini!$A$54:$V$57,20,FALSE),0))*(1+IF($D4="Si",(Listini!$V$46-100)/100,0)+IF($E4="Si",(Listini!$V$47-100)/100,0)+IF($F4="Si",(Listini!$V$48-100)/100,0))+$H4*Listini!$T$49+'Riepilogo Fabbisogni'!I4*Listini!$T$50+'Riepilogo Fabbisogni'!J4*Listini!$T$51+'Riepilogo Fabbisogni'!K4*Listini!$T$52+$L4*Listini!$T$53,0)</f>
        <v>1500</v>
      </c>
      <c r="W4" s="244">
        <f>IF($B4&lt;&gt;0,VLOOKUP($B4,'Listino Offerta'!$A$2:$F$44,3,FALSE)*(1+IF($D4="Si",('Listino Offerta'!$E$46-100)/100,0)+IF($F4="Si",('Listino Offerta'!$E$48-100)/100,0)),0)</f>
        <v>0</v>
      </c>
      <c r="X4" s="244">
        <f>IF($B4&lt;&gt;0,(VLOOKUP($B4,'Listino Offerta'!$A$2:$F$44,4,FALSE)+IF($C4="Si",'Listino Offerta'!$D$45,0)+IF($G4&lt;&gt;0,VLOOKUP($G4,'Listino Offerta'!$A$54:$F$57,4,FALSE),0))*(1+IF($D4="Si",('Listino Offerta'!$F$46-100)/100,0)+IF($E4="Si",('Listino Offerta'!$F$47-100)/100,0)+IF($F4="Si",('Listino Offerta'!$F$48-100)/100,0))+$H4*'Listino Offerta'!$D$49+'Riepilogo Fabbisogni'!I4*'Listino Offerta'!$D$50+'Riepilogo Fabbisogni'!J4*'Listino Offerta'!$D$51+'Riepilogo Fabbisogni'!K4*'Listino Offerta'!$D$52+$L4*'Listino Offerta'!$D$53,0)</f>
        <v>0</v>
      </c>
    </row>
    <row r="5" spans="1:24" s="244" customFormat="1" ht="12.75" customHeight="1">
      <c r="A5" s="241">
        <v>3</v>
      </c>
      <c r="B5" s="242">
        <f>'Servizi di Trasporto Dati'!D7</f>
        <v>0</v>
      </c>
      <c r="C5" s="242">
        <f>'Servizi di Trasporto Dati'!E7</f>
        <v>0</v>
      </c>
      <c r="D5" s="242" t="str">
        <f>IF(AND('Servizi di Trasporto Dati'!F7="Si",'Servizi di Trasporto Dati'!G7&lt;&gt;"Si"),"Si","")</f>
        <v/>
      </c>
      <c r="E5" s="242" t="str">
        <f>IF(AND('Servizi di Trasporto Dati'!F7&lt;&gt;"Si",'Servizi di Trasporto Dati'!G7="Si"),"Si","")</f>
        <v/>
      </c>
      <c r="F5" s="242" t="str">
        <f>IF(AND('Servizi di Trasporto Dati'!F7="Si",'Servizi di Trasporto Dati'!G7="Si"),"Si","")</f>
        <v/>
      </c>
      <c r="G5" s="242">
        <f>'Servizi di Trasporto Dati'!H7</f>
        <v>0</v>
      </c>
      <c r="H5" s="242">
        <f>'Servizi di Trasporto Dati'!I7</f>
        <v>0</v>
      </c>
      <c r="I5" s="242">
        <f>'Servizi di Trasporto Dati'!J7</f>
        <v>0</v>
      </c>
      <c r="J5" s="242">
        <f>'Servizi di Trasporto Dati'!K7</f>
        <v>0</v>
      </c>
      <c r="K5" s="242">
        <f>'Servizi di Trasporto Dati'!L7</f>
        <v>0</v>
      </c>
      <c r="L5" s="243">
        <f>'Servizi di Trasporto Dati'!M7</f>
        <v>0</v>
      </c>
      <c r="M5" s="50">
        <f>IF($B5&lt;&gt;0,VLOOKUP($B5,Listini!$A$3:$V$44,3,FALSE)*(1+IF($D5="Si",(Listini!$E$46-100)/100,0)+IF($F5="Si",(Listini!$E$48-100)/100,0)),0)</f>
        <v>0</v>
      </c>
      <c r="N5" s="50">
        <f>IF($B5&lt;&gt;0,(VLOOKUP($B5,Listini!$A$2:$V$44,4,FALSE)+IF($C5="Si",Listini!$D$45,0)+IF($G5&lt;&gt;0,VLOOKUP($G5,Listini!$A$54:$V$57,4,FALSE),0))*(1+IF($D5="Si",(Listini!$F$46-100)/100,0)+IF($E5="Si",(Listini!$F$47-100)/100,0)+IF($F5="Si",(Listini!$F$48-100)/100,0))+$H5*Listini!$D$49+'Riepilogo Fabbisogni'!I5*Listini!$D$50+'Riepilogo Fabbisogni'!J5*Listini!$D$51+'Riepilogo Fabbisogni'!K5*Listini!$D$52+$L5*Listini!$D$53,0)</f>
        <v>0</v>
      </c>
      <c r="O5" s="50">
        <f>IF($B5&lt;&gt;0,VLOOKUP($B5,Listini!$A$3:$V$44,7,FALSE)*(1+IF($D5="Si",(Listini!$I$46-100)/100,0)+IF($F5="Si",(Listini!$I$48-100)/100,0)),0)</f>
        <v>0</v>
      </c>
      <c r="P5" s="50">
        <f>IF($B5&lt;&gt;0,(VLOOKUP($B5,Listini!$A$2:$V$44,8,FALSE)+IF($C5="Si",Listini!$H$45,0)+IF($G5&lt;&gt;0,VLOOKUP($G5,Listini!$A$54:$V$57,8,FALSE),0))*(1+IF($D5="Si",(Listini!$J$46-100)/100,0)+IF($E5="Si",(Listini!$J$47-100)/100,0)+IF($F5="Si",(Listini!$J$48-100)/100,0))+$H5*Listini!$H$49+'Riepilogo Fabbisogni'!I5*Listini!$H$50+'Riepilogo Fabbisogni'!J5*Listini!$H$51+'Riepilogo Fabbisogni'!K5*Listini!$H$52+$L5*Listini!$H$53,0)</f>
        <v>0</v>
      </c>
      <c r="Q5" s="50">
        <f>IF($B5&lt;&gt;0,VLOOKUP($B5,Listini!$A$3:$V$44,11,FALSE)*(1+IF($D5="Si",(Listini!$M$46-100)/100,0)+IF($F5="Si",(Listini!$M$48-100)/100,0)),0)</f>
        <v>0</v>
      </c>
      <c r="R5" s="50">
        <f>IF($B5&lt;&gt;0,(VLOOKUP($B5,Listini!$A$2:$V$44,12,FALSE)+IF($C5="Si",Listini!$L$45,0)+IF($G5&lt;&gt;0,VLOOKUP($G5,Listini!$A$54:$V$57,12,FALSE),0))*(1+IF($D5="Si",(Listini!$N$46-100)/100,0)+IF($E5="Si",(Listini!$N$47-100)/100,0)+IF($F5="Si",(Listini!$N$48-100)/100,0))+$H5*Listini!$L$49+'Riepilogo Fabbisogni'!I5*Listini!$L$50+'Riepilogo Fabbisogni'!J5*Listini!$L$51+'Riepilogo Fabbisogni'!K5*Listini!$L$52+$L5*Listini!$L$53,0)</f>
        <v>0</v>
      </c>
      <c r="S5" s="244">
        <f>IF($B5&lt;&gt;0,VLOOKUP($B5,Listini!$A$3:$V$44,15,FALSE)*(1+IF($D5="Si",(Listini!$Q$46-100)/100,0)+IF($F5="Si",(Listini!$Q$48-100)/100,0)),0)</f>
        <v>0</v>
      </c>
      <c r="T5" s="244">
        <f>IF($B5&lt;&gt;0,(VLOOKUP($B5,Listini!$A$2:$V$44,16,FALSE)+IF($C5="Si",Listini!$P$45,0)+IF($G5&lt;&gt;0,VLOOKUP($G5,Listini!$A$54:$V$57,16,FALSE),0))*(1+IF($D5="Si",(Listini!$R$46-100)/100,0)+IF($E5="Si",(Listini!$R$47-100)/100,0)+IF($F5="Si",(Listini!$R$48-100)/100,0))+$H5*Listini!$P$49+'Riepilogo Fabbisogni'!I5*Listini!$P$50+'Riepilogo Fabbisogni'!J5*Listini!$P$51+'Riepilogo Fabbisogni'!K5*Listini!$P$52+$L5*Listini!$P$53,0)</f>
        <v>0</v>
      </c>
      <c r="U5" s="244">
        <f>IF($B5&lt;&gt;0,VLOOKUP($B5,Listini!$A$3:$V$44,19,FALSE)*(1+IF($D5="Si",(Listini!$U$46-100)/100,0)+IF($F5="Si",(Listini!$U$48-100)/100,0)),0)</f>
        <v>0</v>
      </c>
      <c r="V5" s="244">
        <f>IF($B5&lt;&gt;0,(VLOOKUP($B5,Listini!$A$2:$V$44,20,FALSE)+IF($C5="Si",Listini!$T$45,0)+IF($G5&lt;&gt;0,VLOOKUP($G5,Listini!$A$54:$V$57,20,FALSE),0))*(1+IF($D5="Si",(Listini!$V$46-100)/100,0)+IF($E5="Si",(Listini!$V$47-100)/100,0)+IF($F5="Si",(Listini!$V$48-100)/100,0))+$H5*Listini!$T$49+'Riepilogo Fabbisogni'!I5*Listini!$T$50+'Riepilogo Fabbisogni'!J5*Listini!$T$51+'Riepilogo Fabbisogni'!K5*Listini!$T$52+$L5*Listini!$T$53,0)</f>
        <v>0</v>
      </c>
      <c r="W5" s="244">
        <f>IF($B5&lt;&gt;0,VLOOKUP($B5,'Listino Offerta'!$A$2:$F$44,3,FALSE)*(1+IF($D5="Si",('Listino Offerta'!$E$46-100)/100,0)+IF($F5="Si",('Listino Offerta'!$E$48-100)/100,0)),0)</f>
        <v>0</v>
      </c>
      <c r="X5" s="244">
        <f>IF($B5&lt;&gt;0,(VLOOKUP($B5,'Listino Offerta'!$A$2:$F$44,4,FALSE)+IF($C5="Si",'Listino Offerta'!$D$45,0)+IF($G5&lt;&gt;0,VLOOKUP($G5,'Listino Offerta'!$A$54:$F$57,4,FALSE),0))*(1+IF($D5="Si",('Listino Offerta'!$F$46-100)/100,0)+IF($E5="Si",('Listino Offerta'!$F$47-100)/100,0)+IF($F5="Si",('Listino Offerta'!$F$48-100)/100,0))+$H5*'Listino Offerta'!$D$49+'Riepilogo Fabbisogni'!I5*'Listino Offerta'!$D$50+'Riepilogo Fabbisogni'!J5*'Listino Offerta'!$D$51+'Riepilogo Fabbisogni'!K5*'Listino Offerta'!$D$52+$L5*'Listino Offerta'!$D$53,0)</f>
        <v>0</v>
      </c>
    </row>
    <row r="6" spans="1:24" s="244" customFormat="1" ht="12.75" customHeight="1">
      <c r="A6" s="241">
        <v>4</v>
      </c>
      <c r="B6" s="242">
        <f>'Servizi di Trasporto Dati'!D8</f>
        <v>0</v>
      </c>
      <c r="C6" s="242">
        <f>'Servizi di Trasporto Dati'!E8</f>
        <v>0</v>
      </c>
      <c r="D6" s="242" t="str">
        <f>IF(AND('Servizi di Trasporto Dati'!F8="Si",'Servizi di Trasporto Dati'!G8&lt;&gt;"Si"),"Si","")</f>
        <v/>
      </c>
      <c r="E6" s="242" t="str">
        <f>IF(AND('Servizi di Trasporto Dati'!F8&lt;&gt;"Si",'Servizi di Trasporto Dati'!G8="Si"),"Si","")</f>
        <v/>
      </c>
      <c r="F6" s="242" t="str">
        <f>IF(AND('Servizi di Trasporto Dati'!F8="Si",'Servizi di Trasporto Dati'!G8="Si"),"Si","")</f>
        <v/>
      </c>
      <c r="G6" s="242">
        <f>'Servizi di Trasporto Dati'!H8</f>
        <v>0</v>
      </c>
      <c r="H6" s="242">
        <f>'Servizi di Trasporto Dati'!I8</f>
        <v>0</v>
      </c>
      <c r="I6" s="242">
        <f>'Servizi di Trasporto Dati'!J8</f>
        <v>0</v>
      </c>
      <c r="J6" s="242">
        <f>'Servizi di Trasporto Dati'!K8</f>
        <v>0</v>
      </c>
      <c r="K6" s="242">
        <f>'Servizi di Trasporto Dati'!L8</f>
        <v>0</v>
      </c>
      <c r="L6" s="243">
        <f>'Servizi di Trasporto Dati'!M8</f>
        <v>0</v>
      </c>
      <c r="M6" s="50">
        <f>IF($B6&lt;&gt;0,VLOOKUP($B6,Listini!$A$3:$V$44,3,FALSE)*(1+IF($D6="Si",(Listini!$E$46-100)/100,0)+IF($F6="Si",(Listini!$E$48-100)/100,0)),0)</f>
        <v>0</v>
      </c>
      <c r="N6" s="50">
        <f>IF($B6&lt;&gt;0,(VLOOKUP($B6,Listini!$A$2:$V$44,4,FALSE)+IF($C6="Si",Listini!$D$45,0)+IF($G6&lt;&gt;0,VLOOKUP($G6,Listini!$A$54:$V$57,4,FALSE),0))*(1+IF($D6="Si",(Listini!$F$46-100)/100,0)+IF($E6="Si",(Listini!$F$47-100)/100,0)+IF($F6="Si",(Listini!$F$48-100)/100,0))+$H6*Listini!$D$49+'Riepilogo Fabbisogni'!I6*Listini!$D$50+'Riepilogo Fabbisogni'!J6*Listini!$D$51+'Riepilogo Fabbisogni'!K6*Listini!$D$52+$L6*Listini!$D$53,0)</f>
        <v>0</v>
      </c>
      <c r="O6" s="50">
        <f>IF($B6&lt;&gt;0,VLOOKUP($B6,Listini!$A$3:$V$44,7,FALSE)*(1+IF($D6="Si",(Listini!$I$46-100)/100,0)+IF($F6="Si",(Listini!$I$48-100)/100,0)),0)</f>
        <v>0</v>
      </c>
      <c r="P6" s="50">
        <f>IF($B6&lt;&gt;0,(VLOOKUP($B6,Listini!$A$2:$V$44,8,FALSE)+IF($C6="Si",Listini!$H$45,0)+IF($G6&lt;&gt;0,VLOOKUP($G6,Listini!$A$54:$V$57,8,FALSE),0))*(1+IF($D6="Si",(Listini!$J$46-100)/100,0)+IF($E6="Si",(Listini!$J$47-100)/100,0)+IF($F6="Si",(Listini!$J$48-100)/100,0))+$H6*Listini!$H$49+'Riepilogo Fabbisogni'!I6*Listini!$H$50+'Riepilogo Fabbisogni'!J6*Listini!$H$51+'Riepilogo Fabbisogni'!K6*Listini!$H$52+$L6*Listini!$H$53,0)</f>
        <v>0</v>
      </c>
      <c r="Q6" s="50">
        <f>IF($B6&lt;&gt;0,VLOOKUP($B6,Listini!$A$3:$V$44,11,FALSE)*(1+IF($D6="Si",(Listini!$M$46-100)/100,0)+IF($F6="Si",(Listini!$M$48-100)/100,0)),0)</f>
        <v>0</v>
      </c>
      <c r="R6" s="50">
        <f>IF($B6&lt;&gt;0,(VLOOKUP($B6,Listini!$A$2:$V$44,12,FALSE)+IF($C6="Si",Listini!$L$45,0)+IF($G6&lt;&gt;0,VLOOKUP($G6,Listini!$A$54:$V$57,12,FALSE),0))*(1+IF($D6="Si",(Listini!$N$46-100)/100,0)+IF($E6="Si",(Listini!$N$47-100)/100,0)+IF($F6="Si",(Listini!$N$48-100)/100,0))+$H6*Listini!$L$49+'Riepilogo Fabbisogni'!I6*Listini!$L$50+'Riepilogo Fabbisogni'!J6*Listini!$L$51+'Riepilogo Fabbisogni'!K6*Listini!$L$52+$L6*Listini!$L$53,0)</f>
        <v>0</v>
      </c>
      <c r="S6" s="244">
        <f>IF($B6&lt;&gt;0,VLOOKUP($B6,Listini!$A$3:$V$44,15,FALSE)*(1+IF($D6="Si",(Listini!$Q$46-100)/100,0)+IF($F6="Si",(Listini!$Q$48-100)/100,0)),0)</f>
        <v>0</v>
      </c>
      <c r="T6" s="244">
        <f>IF($B6&lt;&gt;0,(VLOOKUP($B6,Listini!$A$2:$V$44,16,FALSE)+IF($C6="Si",Listini!$P$45,0)+IF($G6&lt;&gt;0,VLOOKUP($G6,Listini!$A$54:$V$57,16,FALSE),0))*(1+IF($D6="Si",(Listini!$R$46-100)/100,0)+IF($E6="Si",(Listini!$R$47-100)/100,0)+IF($F6="Si",(Listini!$R$48-100)/100,0))+$H6*Listini!$P$49+'Riepilogo Fabbisogni'!I6*Listini!$P$50+'Riepilogo Fabbisogni'!J6*Listini!$P$51+'Riepilogo Fabbisogni'!K6*Listini!$P$52+$L6*Listini!$P$53,0)</f>
        <v>0</v>
      </c>
      <c r="U6" s="244">
        <f>IF($B6&lt;&gt;0,VLOOKUP($B6,Listini!$A$3:$V$44,19,FALSE)*(1+IF($D6="Si",(Listini!$U$46-100)/100,0)+IF($F6="Si",(Listini!$U$48-100)/100,0)),0)</f>
        <v>0</v>
      </c>
      <c r="V6" s="244">
        <f>IF($B6&lt;&gt;0,(VLOOKUP($B6,Listini!$A$2:$V$44,20,FALSE)+IF($C6="Si",Listini!$T$45,0)+IF($G6&lt;&gt;0,VLOOKUP($G6,Listini!$A$54:$V$57,20,FALSE),0))*(1+IF($D6="Si",(Listini!$V$46-100)/100,0)+IF($E6="Si",(Listini!$V$47-100)/100,0)+IF($F6="Si",(Listini!$V$48-100)/100,0))+$H6*Listini!$T$49+'Riepilogo Fabbisogni'!I6*Listini!$T$50+'Riepilogo Fabbisogni'!J6*Listini!$T$51+'Riepilogo Fabbisogni'!K6*Listini!$T$52+$L6*Listini!$T$53,0)</f>
        <v>0</v>
      </c>
      <c r="W6" s="244">
        <f>IF($B6&lt;&gt;0,VLOOKUP($B6,'Listino Offerta'!$A$2:$F$44,3,FALSE)*(1+IF($D6="Si",('Listino Offerta'!$E$46-100)/100,0)+IF($F6="Si",('Listino Offerta'!$E$48-100)/100,0)),0)</f>
        <v>0</v>
      </c>
      <c r="X6" s="244">
        <f>IF($B6&lt;&gt;0,(VLOOKUP($B6,'Listino Offerta'!$A$2:$F$44,4,FALSE)+IF($C6="Si",'Listino Offerta'!$D$45,0)+IF($G6&lt;&gt;0,VLOOKUP($G6,'Listino Offerta'!$A$54:$F$57,4,FALSE),0))*(1+IF($D6="Si",('Listino Offerta'!$F$46-100)/100,0)+IF($E6="Si",('Listino Offerta'!$F$47-100)/100,0)+IF($F6="Si",('Listino Offerta'!$F$48-100)/100,0))+$H6*'Listino Offerta'!$D$49+'Riepilogo Fabbisogni'!I6*'Listino Offerta'!$D$50+'Riepilogo Fabbisogni'!J6*'Listino Offerta'!$D$51+'Riepilogo Fabbisogni'!K6*'Listino Offerta'!$D$52+$L6*'Listino Offerta'!$D$53,0)</f>
        <v>0</v>
      </c>
    </row>
    <row r="7" spans="1:24" s="244" customFormat="1" ht="12.75" customHeight="1">
      <c r="A7" s="241">
        <v>5</v>
      </c>
      <c r="B7" s="242">
        <f>'Servizi di Trasporto Dati'!D9</f>
        <v>0</v>
      </c>
      <c r="C7" s="242">
        <f>'Servizi di Trasporto Dati'!E9</f>
        <v>0</v>
      </c>
      <c r="D7" s="242" t="str">
        <f>IF(AND('Servizi di Trasporto Dati'!F9="Si",'Servizi di Trasporto Dati'!G9&lt;&gt;"Si"),"Si","")</f>
        <v/>
      </c>
      <c r="E7" s="242" t="str">
        <f>IF(AND('Servizi di Trasporto Dati'!F9&lt;&gt;"Si",'Servizi di Trasporto Dati'!G9="Si"),"Si","")</f>
        <v/>
      </c>
      <c r="F7" s="242" t="str">
        <f>IF(AND('Servizi di Trasporto Dati'!F9="Si",'Servizi di Trasporto Dati'!G9="Si"),"Si","")</f>
        <v/>
      </c>
      <c r="G7" s="242">
        <f>'Servizi di Trasporto Dati'!H9</f>
        <v>0</v>
      </c>
      <c r="H7" s="242">
        <f>'Servizi di Trasporto Dati'!I9</f>
        <v>0</v>
      </c>
      <c r="I7" s="242">
        <f>'Servizi di Trasporto Dati'!J9</f>
        <v>0</v>
      </c>
      <c r="J7" s="242">
        <f>'Servizi di Trasporto Dati'!K9</f>
        <v>0</v>
      </c>
      <c r="K7" s="242">
        <f>'Servizi di Trasporto Dati'!L9</f>
        <v>0</v>
      </c>
      <c r="L7" s="243">
        <f>'Servizi di Trasporto Dati'!M9</f>
        <v>0</v>
      </c>
      <c r="M7" s="50">
        <f>IF($B7&lt;&gt;0,VLOOKUP($B7,Listini!$A$3:$V$44,3,FALSE)*(1+IF($D7="Si",(Listini!$E$46-100)/100,0)+IF($F7="Si",(Listini!$E$48-100)/100,0)),0)</f>
        <v>0</v>
      </c>
      <c r="N7" s="50">
        <f>IF($B7&lt;&gt;0,(VLOOKUP($B7,Listini!$A$2:$V$44,4,FALSE)+IF($C7="Si",Listini!$D$45,0)+IF($G7&lt;&gt;0,VLOOKUP($G7,Listini!$A$54:$V$57,4,FALSE),0))*(1+IF($D7="Si",(Listini!$F$46-100)/100,0)+IF($E7="Si",(Listini!$F$47-100)/100,0)+IF($F7="Si",(Listini!$F$48-100)/100,0))+$H7*Listini!$D$49+'Riepilogo Fabbisogni'!I7*Listini!$D$50+'Riepilogo Fabbisogni'!J7*Listini!$D$51+'Riepilogo Fabbisogni'!K7*Listini!$D$52+$L7*Listini!$D$53,0)</f>
        <v>0</v>
      </c>
      <c r="O7" s="50">
        <f>IF($B7&lt;&gt;0,VLOOKUP($B7,Listini!$A$3:$V$44,7,FALSE)*(1+IF($D7="Si",(Listini!$I$46-100)/100,0)+IF($F7="Si",(Listini!$I$48-100)/100,0)),0)</f>
        <v>0</v>
      </c>
      <c r="P7" s="50">
        <f>IF($B7&lt;&gt;0,(VLOOKUP($B7,Listini!$A$2:$V$44,8,FALSE)+IF($C7="Si",Listini!$H$45,0)+IF($G7&lt;&gt;0,VLOOKUP($G7,Listini!$A$54:$V$57,8,FALSE),0))*(1+IF($D7="Si",(Listini!$J$46-100)/100,0)+IF($E7="Si",(Listini!$J$47-100)/100,0)+IF($F7="Si",(Listini!$J$48-100)/100,0))+$H7*Listini!$H$49+'Riepilogo Fabbisogni'!I7*Listini!$H$50+'Riepilogo Fabbisogni'!J7*Listini!$H$51+'Riepilogo Fabbisogni'!K7*Listini!$H$52+$L7*Listini!$H$53,0)</f>
        <v>0</v>
      </c>
      <c r="Q7" s="50">
        <f>IF($B7&lt;&gt;0,VLOOKUP($B7,Listini!$A$3:$V$44,11,FALSE)*(1+IF($D7="Si",(Listini!$M$46-100)/100,0)+IF($F7="Si",(Listini!$M$48-100)/100,0)),0)</f>
        <v>0</v>
      </c>
      <c r="R7" s="50">
        <f>IF($B7&lt;&gt;0,(VLOOKUP($B7,Listini!$A$2:$V$44,12,FALSE)+IF($C7="Si",Listini!$L$45,0)+IF($G7&lt;&gt;0,VLOOKUP($G7,Listini!$A$54:$V$57,12,FALSE),0))*(1+IF($D7="Si",(Listini!$N$46-100)/100,0)+IF($E7="Si",(Listini!$N$47-100)/100,0)+IF($F7="Si",(Listini!$N$48-100)/100,0))+$H7*Listini!$L$49+'Riepilogo Fabbisogni'!I7*Listini!$L$50+'Riepilogo Fabbisogni'!J7*Listini!$L$51+'Riepilogo Fabbisogni'!K7*Listini!$L$52+$L7*Listini!$L$53,0)</f>
        <v>0</v>
      </c>
      <c r="S7" s="244">
        <f>IF($B7&lt;&gt;0,VLOOKUP($B7,Listini!$A$3:$V$44,15,FALSE)*(1+IF($D7="Si",(Listini!$Q$46-100)/100,0)+IF($F7="Si",(Listini!$Q$48-100)/100,0)),0)</f>
        <v>0</v>
      </c>
      <c r="T7" s="244">
        <f>IF($B7&lt;&gt;0,(VLOOKUP($B7,Listini!$A$2:$V$44,16,FALSE)+IF($C7="Si",Listini!$P$45,0)+IF($G7&lt;&gt;0,VLOOKUP($G7,Listini!$A$54:$V$57,16,FALSE),0))*(1+IF($D7="Si",(Listini!$R$46-100)/100,0)+IF($E7="Si",(Listini!$R$47-100)/100,0)+IF($F7="Si",(Listini!$R$48-100)/100,0))+$H7*Listini!$P$49+'Riepilogo Fabbisogni'!I7*Listini!$P$50+'Riepilogo Fabbisogni'!J7*Listini!$P$51+'Riepilogo Fabbisogni'!K7*Listini!$P$52+$L7*Listini!$P$53,0)</f>
        <v>0</v>
      </c>
      <c r="U7" s="244">
        <f>IF($B7&lt;&gt;0,VLOOKUP($B7,Listini!$A$3:$V$44,19,FALSE)*(1+IF($D7="Si",(Listini!$U$46-100)/100,0)+IF($F7="Si",(Listini!$U$48-100)/100,0)),0)</f>
        <v>0</v>
      </c>
      <c r="V7" s="244">
        <f>IF($B7&lt;&gt;0,(VLOOKUP($B7,Listini!$A$2:$V$44,20,FALSE)+IF($C7="Si",Listini!$T$45,0)+IF($G7&lt;&gt;0,VLOOKUP($G7,Listini!$A$54:$V$57,20,FALSE),0))*(1+IF($D7="Si",(Listini!$V$46-100)/100,0)+IF($E7="Si",(Listini!$V$47-100)/100,0)+IF($F7="Si",(Listini!$V$48-100)/100,0))+$H7*Listini!$T$49+'Riepilogo Fabbisogni'!I7*Listini!$T$50+'Riepilogo Fabbisogni'!J7*Listini!$T$51+'Riepilogo Fabbisogni'!K7*Listini!$T$52+$L7*Listini!$T$53,0)</f>
        <v>0</v>
      </c>
      <c r="W7" s="244">
        <f>IF($B7&lt;&gt;0,VLOOKUP($B7,'Listino Offerta'!$A$2:$F$44,3,FALSE)*(1+IF($D7="Si",('Listino Offerta'!$E$46-100)/100,0)+IF($F7="Si",('Listino Offerta'!$E$48-100)/100,0)),0)</f>
        <v>0</v>
      </c>
      <c r="X7" s="244">
        <f>IF($B7&lt;&gt;0,(VLOOKUP($B7,'Listino Offerta'!$A$2:$F$44,4,FALSE)+IF($C7="Si",'Listino Offerta'!$D$45,0)+IF($G7&lt;&gt;0,VLOOKUP($G7,'Listino Offerta'!$A$54:$F$57,4,FALSE),0))*(1+IF($D7="Si",('Listino Offerta'!$F$46-100)/100,0)+IF($E7="Si",('Listino Offerta'!$F$47-100)/100,0)+IF($F7="Si",('Listino Offerta'!$F$48-100)/100,0))+$H7*'Listino Offerta'!$D$49+'Riepilogo Fabbisogni'!I7*'Listino Offerta'!$D$50+'Riepilogo Fabbisogni'!J7*'Listino Offerta'!$D$51+'Riepilogo Fabbisogni'!K7*'Listino Offerta'!$D$52+$L7*'Listino Offerta'!$D$53,0)</f>
        <v>0</v>
      </c>
    </row>
    <row r="8" spans="1:24" s="244" customFormat="1" ht="12.75" customHeight="1">
      <c r="A8" s="241">
        <v>6</v>
      </c>
      <c r="B8" s="242">
        <f>'Servizi di Trasporto Dati'!D10</f>
        <v>0</v>
      </c>
      <c r="C8" s="242">
        <f>'Servizi di Trasporto Dati'!E10</f>
        <v>0</v>
      </c>
      <c r="D8" s="242" t="str">
        <f>IF(AND('Servizi di Trasporto Dati'!F10="Si",'Servizi di Trasporto Dati'!G10&lt;&gt;"Si"),"Si","")</f>
        <v/>
      </c>
      <c r="E8" s="242" t="str">
        <f>IF(AND('Servizi di Trasporto Dati'!F10&lt;&gt;"Si",'Servizi di Trasporto Dati'!G10="Si"),"Si","")</f>
        <v/>
      </c>
      <c r="F8" s="242" t="str">
        <f>IF(AND('Servizi di Trasporto Dati'!F10="Si",'Servizi di Trasporto Dati'!G10="Si"),"Si","")</f>
        <v/>
      </c>
      <c r="G8" s="242">
        <f>'Servizi di Trasporto Dati'!H10</f>
        <v>0</v>
      </c>
      <c r="H8" s="242">
        <f>'Servizi di Trasporto Dati'!I10</f>
        <v>0</v>
      </c>
      <c r="I8" s="242">
        <f>'Servizi di Trasporto Dati'!J10</f>
        <v>0</v>
      </c>
      <c r="J8" s="242">
        <f>'Servizi di Trasporto Dati'!K10</f>
        <v>0</v>
      </c>
      <c r="K8" s="242">
        <f>'Servizi di Trasporto Dati'!L10</f>
        <v>0</v>
      </c>
      <c r="L8" s="243">
        <f>'Servizi di Trasporto Dati'!M10</f>
        <v>0</v>
      </c>
      <c r="M8" s="50">
        <f>IF($B8&lt;&gt;0,VLOOKUP($B8,Listini!$A$3:$V$44,3,FALSE)*(1+IF($D8="Si",(Listini!$E$46-100)/100,0)+IF($F8="Si",(Listini!$E$48-100)/100,0)),0)</f>
        <v>0</v>
      </c>
      <c r="N8" s="50">
        <f>IF($B8&lt;&gt;0,(VLOOKUP($B8,Listini!$A$2:$V$44,4,FALSE)+IF($C8="Si",Listini!$D$45,0)+IF($G8&lt;&gt;0,VLOOKUP($G8,Listini!$A$54:$V$57,4,FALSE),0))*(1+IF($D8="Si",(Listini!$F$46-100)/100,0)+IF($E8="Si",(Listini!$F$47-100)/100,0)+IF($F8="Si",(Listini!$F$48-100)/100,0))+$H8*Listini!$D$49+'Riepilogo Fabbisogni'!I8*Listini!$D$50+'Riepilogo Fabbisogni'!J8*Listini!$D$51+'Riepilogo Fabbisogni'!K8*Listini!$D$52+$L8*Listini!$D$53,0)</f>
        <v>0</v>
      </c>
      <c r="O8" s="50">
        <f>IF($B8&lt;&gt;0,VLOOKUP($B8,Listini!$A$3:$V$44,7,FALSE)*(1+IF($D8="Si",(Listini!$I$46-100)/100,0)+IF($F8="Si",(Listini!$I$48-100)/100,0)),0)</f>
        <v>0</v>
      </c>
      <c r="P8" s="50">
        <f>IF($B8&lt;&gt;0,(VLOOKUP($B8,Listini!$A$2:$V$44,8,FALSE)+IF($C8="Si",Listini!$H$45,0)+IF($G8&lt;&gt;0,VLOOKUP($G8,Listini!$A$54:$V$57,8,FALSE),0))*(1+IF($D8="Si",(Listini!$J$46-100)/100,0)+IF($E8="Si",(Listini!$J$47-100)/100,0)+IF($F8="Si",(Listini!$J$48-100)/100,0))+$H8*Listini!$H$49+'Riepilogo Fabbisogni'!I8*Listini!$H$50+'Riepilogo Fabbisogni'!J8*Listini!$H$51+'Riepilogo Fabbisogni'!K8*Listini!$H$52+$L8*Listini!$H$53,0)</f>
        <v>0</v>
      </c>
      <c r="Q8" s="50">
        <f>IF($B8&lt;&gt;0,VLOOKUP($B8,Listini!$A$3:$V$44,11,FALSE)*(1+IF($D8="Si",(Listini!$M$46-100)/100,0)+IF($F8="Si",(Listini!$M$48-100)/100,0)),0)</f>
        <v>0</v>
      </c>
      <c r="R8" s="50">
        <f>IF($B8&lt;&gt;0,(VLOOKUP($B8,Listini!$A$2:$V$44,12,FALSE)+IF($C8="Si",Listini!$L$45,0)+IF($G8&lt;&gt;0,VLOOKUP($G8,Listini!$A$54:$V$57,12,FALSE),0))*(1+IF($D8="Si",(Listini!$N$46-100)/100,0)+IF($E8="Si",(Listini!$N$47-100)/100,0)+IF($F8="Si",(Listini!$N$48-100)/100,0))+$H8*Listini!$L$49+'Riepilogo Fabbisogni'!I8*Listini!$L$50+'Riepilogo Fabbisogni'!J8*Listini!$L$51+'Riepilogo Fabbisogni'!K8*Listini!$L$52+$L8*Listini!$L$53,0)</f>
        <v>0</v>
      </c>
      <c r="S8" s="244">
        <f>IF($B8&lt;&gt;0,VLOOKUP($B8,Listini!$A$3:$V$44,15,FALSE)*(1+IF($D8="Si",(Listini!$Q$46-100)/100,0)+IF($F8="Si",(Listini!$Q$48-100)/100,0)),0)</f>
        <v>0</v>
      </c>
      <c r="T8" s="244">
        <f>IF($B8&lt;&gt;0,(VLOOKUP($B8,Listini!$A$2:$V$44,16,FALSE)+IF($C8="Si",Listini!$P$45,0)+IF($G8&lt;&gt;0,VLOOKUP($G8,Listini!$A$54:$V$57,16,FALSE),0))*(1+IF($D8="Si",(Listini!$R$46-100)/100,0)+IF($E8="Si",(Listini!$R$47-100)/100,0)+IF($F8="Si",(Listini!$R$48-100)/100,0))+$H8*Listini!$P$49+'Riepilogo Fabbisogni'!I8*Listini!$P$50+'Riepilogo Fabbisogni'!J8*Listini!$P$51+'Riepilogo Fabbisogni'!K8*Listini!$P$52+$L8*Listini!$P$53,0)</f>
        <v>0</v>
      </c>
      <c r="U8" s="244">
        <f>IF($B8&lt;&gt;0,VLOOKUP($B8,Listini!$A$3:$V$44,19,FALSE)*(1+IF($D8="Si",(Listini!$U$46-100)/100,0)+IF($F8="Si",(Listini!$U$48-100)/100,0)),0)</f>
        <v>0</v>
      </c>
      <c r="V8" s="244">
        <f>IF($B8&lt;&gt;0,(VLOOKUP($B8,Listini!$A$2:$V$44,20,FALSE)+IF($C8="Si",Listini!$T$45,0)+IF($G8&lt;&gt;0,VLOOKUP($G8,Listini!$A$54:$V$57,20,FALSE),0))*(1+IF($D8="Si",(Listini!$V$46-100)/100,0)+IF($E8="Si",(Listini!$V$47-100)/100,0)+IF($F8="Si",(Listini!$V$48-100)/100,0))+$H8*Listini!$T$49+'Riepilogo Fabbisogni'!I8*Listini!$T$50+'Riepilogo Fabbisogni'!J8*Listini!$T$51+'Riepilogo Fabbisogni'!K8*Listini!$T$52+$L8*Listini!$T$53,0)</f>
        <v>0</v>
      </c>
      <c r="W8" s="244">
        <f>IF($B8&lt;&gt;0,VLOOKUP($B8,'Listino Offerta'!$A$2:$F$44,3,FALSE)*(1+IF($D8="Si",('Listino Offerta'!$E$46-100)/100,0)+IF($F8="Si",('Listino Offerta'!$E$48-100)/100,0)),0)</f>
        <v>0</v>
      </c>
      <c r="X8" s="244">
        <f>IF($B8&lt;&gt;0,(VLOOKUP($B8,'Listino Offerta'!$A$2:$F$44,4,FALSE)+IF($C8="Si",'Listino Offerta'!$D$45,0)+IF($G8&lt;&gt;0,VLOOKUP($G8,'Listino Offerta'!$A$54:$F$57,4,FALSE),0))*(1+IF($D8="Si",('Listino Offerta'!$F$46-100)/100,0)+IF($E8="Si",('Listino Offerta'!$F$47-100)/100,0)+IF($F8="Si",('Listino Offerta'!$F$48-100)/100,0))+$H8*'Listino Offerta'!$D$49+'Riepilogo Fabbisogni'!I8*'Listino Offerta'!$D$50+'Riepilogo Fabbisogni'!J8*'Listino Offerta'!$D$51+'Riepilogo Fabbisogni'!K8*'Listino Offerta'!$D$52+$L8*'Listino Offerta'!$D$53,0)</f>
        <v>0</v>
      </c>
    </row>
    <row r="9" spans="1:24" s="244" customFormat="1" ht="12.75" customHeight="1">
      <c r="A9" s="241">
        <v>7</v>
      </c>
      <c r="B9" s="242">
        <f>'Servizi di Trasporto Dati'!D11</f>
        <v>0</v>
      </c>
      <c r="C9" s="242">
        <f>'Servizi di Trasporto Dati'!E11</f>
        <v>0</v>
      </c>
      <c r="D9" s="242" t="str">
        <f>IF(AND('Servizi di Trasporto Dati'!F11="Si",'Servizi di Trasporto Dati'!G11&lt;&gt;"Si"),"Si","")</f>
        <v/>
      </c>
      <c r="E9" s="242" t="str">
        <f>IF(AND('Servizi di Trasporto Dati'!F11&lt;&gt;"Si",'Servizi di Trasporto Dati'!G11="Si"),"Si","")</f>
        <v/>
      </c>
      <c r="F9" s="242" t="str">
        <f>IF(AND('Servizi di Trasporto Dati'!F11="Si",'Servizi di Trasporto Dati'!G11="Si"),"Si","")</f>
        <v/>
      </c>
      <c r="G9" s="242">
        <f>'Servizi di Trasporto Dati'!H11</f>
        <v>0</v>
      </c>
      <c r="H9" s="242">
        <f>'Servizi di Trasporto Dati'!I11</f>
        <v>0</v>
      </c>
      <c r="I9" s="242">
        <f>'Servizi di Trasporto Dati'!J11</f>
        <v>0</v>
      </c>
      <c r="J9" s="242">
        <f>'Servizi di Trasporto Dati'!K11</f>
        <v>0</v>
      </c>
      <c r="K9" s="242">
        <f>'Servizi di Trasporto Dati'!L11</f>
        <v>0</v>
      </c>
      <c r="L9" s="243">
        <f>'Servizi di Trasporto Dati'!M11</f>
        <v>0</v>
      </c>
      <c r="M9" s="50">
        <f>IF($B9&lt;&gt;0,VLOOKUP($B9,Listini!$A$3:$V$44,3,FALSE)*(1+IF($D9="Si",(Listini!$E$46-100)/100,0)+IF($F9="Si",(Listini!$E$48-100)/100,0)),0)</f>
        <v>0</v>
      </c>
      <c r="N9" s="50">
        <f>IF($B9&lt;&gt;0,(VLOOKUP($B9,Listini!$A$2:$V$44,4,FALSE)+IF($C9="Si",Listini!$D$45,0)+IF($G9&lt;&gt;0,VLOOKUP($G9,Listini!$A$54:$V$57,4,FALSE),0))*(1+IF($D9="Si",(Listini!$F$46-100)/100,0)+IF($E9="Si",(Listini!$F$47-100)/100,0)+IF($F9="Si",(Listini!$F$48-100)/100,0))+$H9*Listini!$D$49+'Riepilogo Fabbisogni'!I9*Listini!$D$50+'Riepilogo Fabbisogni'!J9*Listini!$D$51+'Riepilogo Fabbisogni'!K9*Listini!$D$52+$L9*Listini!$D$53,0)</f>
        <v>0</v>
      </c>
      <c r="O9" s="50">
        <f>IF($B9&lt;&gt;0,VLOOKUP($B9,Listini!$A$3:$V$44,7,FALSE)*(1+IF($D9="Si",(Listini!$I$46-100)/100,0)+IF($F9="Si",(Listini!$I$48-100)/100,0)),0)</f>
        <v>0</v>
      </c>
      <c r="P9" s="50">
        <f>IF($B9&lt;&gt;0,(VLOOKUP($B9,Listini!$A$2:$V$44,8,FALSE)+IF($C9="Si",Listini!$H$45,0)+IF($G9&lt;&gt;0,VLOOKUP($G9,Listini!$A$54:$V$57,8,FALSE),0))*(1+IF($D9="Si",(Listini!$J$46-100)/100,0)+IF($E9="Si",(Listini!$J$47-100)/100,0)+IF($F9="Si",(Listini!$J$48-100)/100,0))+$H9*Listini!$H$49+'Riepilogo Fabbisogni'!I9*Listini!$H$50+'Riepilogo Fabbisogni'!J9*Listini!$H$51+'Riepilogo Fabbisogni'!K9*Listini!$H$52+$L9*Listini!$H$53,0)</f>
        <v>0</v>
      </c>
      <c r="Q9" s="50">
        <f>IF($B9&lt;&gt;0,VLOOKUP($B9,Listini!$A$3:$V$44,11,FALSE)*(1+IF($D9="Si",(Listini!$M$46-100)/100,0)+IF($F9="Si",(Listini!$M$48-100)/100,0)),0)</f>
        <v>0</v>
      </c>
      <c r="R9" s="50">
        <f>IF($B9&lt;&gt;0,(VLOOKUP($B9,Listini!$A$2:$V$44,12,FALSE)+IF($C9="Si",Listini!$L$45,0)+IF($G9&lt;&gt;0,VLOOKUP($G9,Listini!$A$54:$V$57,12,FALSE),0))*(1+IF($D9="Si",(Listini!$N$46-100)/100,0)+IF($E9="Si",(Listini!$N$47-100)/100,0)+IF($F9="Si",(Listini!$N$48-100)/100,0))+$H9*Listini!$L$49+'Riepilogo Fabbisogni'!I9*Listini!$L$50+'Riepilogo Fabbisogni'!J9*Listini!$L$51+'Riepilogo Fabbisogni'!K9*Listini!$L$52+$L9*Listini!$L$53,0)</f>
        <v>0</v>
      </c>
      <c r="S9" s="244">
        <f>IF($B9&lt;&gt;0,VLOOKUP($B9,Listini!$A$3:$V$44,15,FALSE)*(1+IF($D9="Si",(Listini!$Q$46-100)/100,0)+IF($F9="Si",(Listini!$Q$48-100)/100,0)),0)</f>
        <v>0</v>
      </c>
      <c r="T9" s="244">
        <f>IF($B9&lt;&gt;0,(VLOOKUP($B9,Listini!$A$2:$V$44,16,FALSE)+IF($C9="Si",Listini!$P$45,0)+IF($G9&lt;&gt;0,VLOOKUP($G9,Listini!$A$54:$V$57,16,FALSE),0))*(1+IF($D9="Si",(Listini!$R$46-100)/100,0)+IF($E9="Si",(Listini!$R$47-100)/100,0)+IF($F9="Si",(Listini!$R$48-100)/100,0))+$H9*Listini!$P$49+'Riepilogo Fabbisogni'!I9*Listini!$P$50+'Riepilogo Fabbisogni'!J9*Listini!$P$51+'Riepilogo Fabbisogni'!K9*Listini!$P$52+$L9*Listini!$P$53,0)</f>
        <v>0</v>
      </c>
      <c r="U9" s="244">
        <f>IF($B9&lt;&gt;0,VLOOKUP($B9,Listini!$A$3:$V$44,19,FALSE)*(1+IF($D9="Si",(Listini!$U$46-100)/100,0)+IF($F9="Si",(Listini!$U$48-100)/100,0)),0)</f>
        <v>0</v>
      </c>
      <c r="V9" s="244">
        <f>IF($B9&lt;&gt;0,(VLOOKUP($B9,Listini!$A$2:$V$44,20,FALSE)+IF($C9="Si",Listini!$T$45,0)+IF($G9&lt;&gt;0,VLOOKUP($G9,Listini!$A$54:$V$57,20,FALSE),0))*(1+IF($D9="Si",(Listini!$V$46-100)/100,0)+IF($E9="Si",(Listini!$V$47-100)/100,0)+IF($F9="Si",(Listini!$V$48-100)/100,0))+$H9*Listini!$T$49+'Riepilogo Fabbisogni'!I9*Listini!$T$50+'Riepilogo Fabbisogni'!J9*Listini!$T$51+'Riepilogo Fabbisogni'!K9*Listini!$T$52+$L9*Listini!$T$53,0)</f>
        <v>0</v>
      </c>
      <c r="W9" s="244">
        <f>IF($B9&lt;&gt;0,VLOOKUP($B9,'Listino Offerta'!$A$2:$F$44,3,FALSE)*(1+IF($D9="Si",('Listino Offerta'!$E$46-100)/100,0)+IF($F9="Si",('Listino Offerta'!$E$48-100)/100,0)),0)</f>
        <v>0</v>
      </c>
      <c r="X9" s="244">
        <f>IF($B9&lt;&gt;0,(VLOOKUP($B9,'Listino Offerta'!$A$2:$F$44,4,FALSE)+IF($C9="Si",'Listino Offerta'!$D$45,0)+IF($G9&lt;&gt;0,VLOOKUP($G9,'Listino Offerta'!$A$54:$F$57,4,FALSE),0))*(1+IF($D9="Si",('Listino Offerta'!$F$46-100)/100,0)+IF($E9="Si",('Listino Offerta'!$F$47-100)/100,0)+IF($F9="Si",('Listino Offerta'!$F$48-100)/100,0))+$H9*'Listino Offerta'!$D$49+'Riepilogo Fabbisogni'!I9*'Listino Offerta'!$D$50+'Riepilogo Fabbisogni'!J9*'Listino Offerta'!$D$51+'Riepilogo Fabbisogni'!K9*'Listino Offerta'!$D$52+$L9*'Listino Offerta'!$D$53,0)</f>
        <v>0</v>
      </c>
    </row>
    <row r="10" spans="1:24" s="244" customFormat="1" ht="12.75" customHeight="1">
      <c r="A10" s="241">
        <v>8</v>
      </c>
      <c r="B10" s="242">
        <f>'Servizi di Trasporto Dati'!D12</f>
        <v>0</v>
      </c>
      <c r="C10" s="242">
        <f>'Servizi di Trasporto Dati'!E12</f>
        <v>0</v>
      </c>
      <c r="D10" s="242" t="str">
        <f>IF(AND('Servizi di Trasporto Dati'!F12="Si",'Servizi di Trasporto Dati'!G12&lt;&gt;"Si"),"Si","")</f>
        <v/>
      </c>
      <c r="E10" s="242" t="str">
        <f>IF(AND('Servizi di Trasporto Dati'!F12&lt;&gt;"Si",'Servizi di Trasporto Dati'!G12="Si"),"Si","")</f>
        <v/>
      </c>
      <c r="F10" s="242" t="str">
        <f>IF(AND('Servizi di Trasporto Dati'!F12="Si",'Servizi di Trasporto Dati'!G12="Si"),"Si","")</f>
        <v/>
      </c>
      <c r="G10" s="242">
        <f>'Servizi di Trasporto Dati'!H12</f>
        <v>0</v>
      </c>
      <c r="H10" s="242">
        <f>'Servizi di Trasporto Dati'!I12</f>
        <v>0</v>
      </c>
      <c r="I10" s="242">
        <f>'Servizi di Trasporto Dati'!J12</f>
        <v>0</v>
      </c>
      <c r="J10" s="242">
        <f>'Servizi di Trasporto Dati'!K12</f>
        <v>0</v>
      </c>
      <c r="K10" s="242">
        <f>'Servizi di Trasporto Dati'!L12</f>
        <v>0</v>
      </c>
      <c r="L10" s="243">
        <f>'Servizi di Trasporto Dati'!M12</f>
        <v>0</v>
      </c>
      <c r="M10" s="50">
        <f>IF($B10&lt;&gt;0,VLOOKUP($B10,Listini!$A$3:$V$44,3,FALSE)*(1+IF($D10="Si",(Listini!$E$46-100)/100,0)+IF($F10="Si",(Listini!$E$48-100)/100,0)),0)</f>
        <v>0</v>
      </c>
      <c r="N10" s="50">
        <f>IF($B10&lt;&gt;0,(VLOOKUP($B10,Listini!$A$2:$V$44,4,FALSE)+IF($C10="Si",Listini!$D$45,0)+IF($G10&lt;&gt;0,VLOOKUP($G10,Listini!$A$54:$V$57,4,FALSE),0))*(1+IF($D10="Si",(Listini!$F$46-100)/100,0)+IF($E10="Si",(Listini!$F$47-100)/100,0)+IF($F10="Si",(Listini!$F$48-100)/100,0))+$H10*Listini!$D$49+'Riepilogo Fabbisogni'!I10*Listini!$D$50+'Riepilogo Fabbisogni'!J10*Listini!$D$51+'Riepilogo Fabbisogni'!K10*Listini!$D$52+$L10*Listini!$D$53,0)</f>
        <v>0</v>
      </c>
      <c r="O10" s="50">
        <f>IF($B10&lt;&gt;0,VLOOKUP($B10,Listini!$A$3:$V$44,7,FALSE)*(1+IF($D10="Si",(Listini!$I$46-100)/100,0)+IF($F10="Si",(Listini!$I$48-100)/100,0)),0)</f>
        <v>0</v>
      </c>
      <c r="P10" s="50">
        <f>IF($B10&lt;&gt;0,(VLOOKUP($B10,Listini!$A$2:$V$44,8,FALSE)+IF($C10="Si",Listini!$H$45,0)+IF($G10&lt;&gt;0,VLOOKUP($G10,Listini!$A$54:$V$57,8,FALSE),0))*(1+IF($D10="Si",(Listini!$J$46-100)/100,0)+IF($E10="Si",(Listini!$J$47-100)/100,0)+IF($F10="Si",(Listini!$J$48-100)/100,0))+$H10*Listini!$H$49+'Riepilogo Fabbisogni'!I10*Listini!$H$50+'Riepilogo Fabbisogni'!J10*Listini!$H$51+'Riepilogo Fabbisogni'!K10*Listini!$H$52+$L10*Listini!$H$53,0)</f>
        <v>0</v>
      </c>
      <c r="Q10" s="50">
        <f>IF($B10&lt;&gt;0,VLOOKUP($B10,Listini!$A$3:$V$44,11,FALSE)*(1+IF($D10="Si",(Listini!$M$46-100)/100,0)+IF($F10="Si",(Listini!$M$48-100)/100,0)),0)</f>
        <v>0</v>
      </c>
      <c r="R10" s="50">
        <f>IF($B10&lt;&gt;0,(VLOOKUP($B10,Listini!$A$2:$V$44,12,FALSE)+IF($C10="Si",Listini!$L$45,0)+IF($G10&lt;&gt;0,VLOOKUP($G10,Listini!$A$54:$V$57,12,FALSE),0))*(1+IF($D10="Si",(Listini!$N$46-100)/100,0)+IF($E10="Si",(Listini!$N$47-100)/100,0)+IF($F10="Si",(Listini!$N$48-100)/100,0))+$H10*Listini!$L$49+'Riepilogo Fabbisogni'!I10*Listini!$L$50+'Riepilogo Fabbisogni'!J10*Listini!$L$51+'Riepilogo Fabbisogni'!K10*Listini!$L$52+$L10*Listini!$L$53,0)</f>
        <v>0</v>
      </c>
      <c r="S10" s="244">
        <f>IF($B10&lt;&gt;0,VLOOKUP($B10,Listini!$A$3:$V$44,15,FALSE)*(1+IF($D10="Si",(Listini!$Q$46-100)/100,0)+IF($F10="Si",(Listini!$Q$48-100)/100,0)),0)</f>
        <v>0</v>
      </c>
      <c r="T10" s="244">
        <f>IF($B10&lt;&gt;0,(VLOOKUP($B10,Listini!$A$2:$V$44,16,FALSE)+IF($C10="Si",Listini!$P$45,0)+IF($G10&lt;&gt;0,VLOOKUP($G10,Listini!$A$54:$V$57,16,FALSE),0))*(1+IF($D10="Si",(Listini!$R$46-100)/100,0)+IF($E10="Si",(Listini!$R$47-100)/100,0)+IF($F10="Si",(Listini!$R$48-100)/100,0))+$H10*Listini!$P$49+'Riepilogo Fabbisogni'!I10*Listini!$P$50+'Riepilogo Fabbisogni'!J10*Listini!$P$51+'Riepilogo Fabbisogni'!K10*Listini!$P$52+$L10*Listini!$P$53,0)</f>
        <v>0</v>
      </c>
      <c r="U10" s="244">
        <f>IF($B10&lt;&gt;0,VLOOKUP($B10,Listini!$A$3:$V$44,19,FALSE)*(1+IF($D10="Si",(Listini!$U$46-100)/100,0)+IF($F10="Si",(Listini!$U$48-100)/100,0)),0)</f>
        <v>0</v>
      </c>
      <c r="V10" s="244">
        <f>IF($B10&lt;&gt;0,(VLOOKUP($B10,Listini!$A$2:$V$44,20,FALSE)+IF($C10="Si",Listini!$T$45,0)+IF($G10&lt;&gt;0,VLOOKUP($G10,Listini!$A$54:$V$57,20,FALSE),0))*(1+IF($D10="Si",(Listini!$V$46-100)/100,0)+IF($E10="Si",(Listini!$V$47-100)/100,0)+IF($F10="Si",(Listini!$V$48-100)/100,0))+$H10*Listini!$T$49+'Riepilogo Fabbisogni'!I10*Listini!$T$50+'Riepilogo Fabbisogni'!J10*Listini!$T$51+'Riepilogo Fabbisogni'!K10*Listini!$T$52+$L10*Listini!$T$53,0)</f>
        <v>0</v>
      </c>
      <c r="W10" s="244">
        <f>IF($B10&lt;&gt;0,VLOOKUP($B10,'Listino Offerta'!$A$2:$F$44,3,FALSE)*(1+IF($D10="Si",('Listino Offerta'!$E$46-100)/100,0)+IF($F10="Si",('Listino Offerta'!$E$48-100)/100,0)),0)</f>
        <v>0</v>
      </c>
      <c r="X10" s="244">
        <f>IF($B10&lt;&gt;0,(VLOOKUP($B10,'Listino Offerta'!$A$2:$F$44,4,FALSE)+IF($C10="Si",'Listino Offerta'!$D$45,0)+IF($G10&lt;&gt;0,VLOOKUP($G10,'Listino Offerta'!$A$54:$F$57,4,FALSE),0))*(1+IF($D10="Si",('Listino Offerta'!$F$46-100)/100,0)+IF($E10="Si",('Listino Offerta'!$F$47-100)/100,0)+IF($F10="Si",('Listino Offerta'!$F$48-100)/100,0))+$H10*'Listino Offerta'!$D$49+'Riepilogo Fabbisogni'!I10*'Listino Offerta'!$D$50+'Riepilogo Fabbisogni'!J10*'Listino Offerta'!$D$51+'Riepilogo Fabbisogni'!K10*'Listino Offerta'!$D$52+$L10*'Listino Offerta'!$D$53,0)</f>
        <v>0</v>
      </c>
    </row>
    <row r="11" spans="1:24" s="244" customFormat="1" ht="12.75" customHeight="1">
      <c r="A11" s="241">
        <v>9</v>
      </c>
      <c r="B11" s="242">
        <f>'Servizi di Trasporto Dati'!D13</f>
        <v>0</v>
      </c>
      <c r="C11" s="242">
        <f>'Servizi di Trasporto Dati'!E13</f>
        <v>0</v>
      </c>
      <c r="D11" s="242" t="str">
        <f>IF(AND('Servizi di Trasporto Dati'!F13="Si",'Servizi di Trasporto Dati'!G13&lt;&gt;"Si"),"Si","")</f>
        <v/>
      </c>
      <c r="E11" s="242" t="str">
        <f>IF(AND('Servizi di Trasporto Dati'!F13&lt;&gt;"Si",'Servizi di Trasporto Dati'!G13="Si"),"Si","")</f>
        <v/>
      </c>
      <c r="F11" s="242" t="str">
        <f>IF(AND('Servizi di Trasporto Dati'!F13="Si",'Servizi di Trasporto Dati'!G13="Si"),"Si","")</f>
        <v/>
      </c>
      <c r="G11" s="242">
        <f>'Servizi di Trasporto Dati'!H13</f>
        <v>0</v>
      </c>
      <c r="H11" s="242">
        <f>'Servizi di Trasporto Dati'!I13</f>
        <v>0</v>
      </c>
      <c r="I11" s="242">
        <f>'Servizi di Trasporto Dati'!J13</f>
        <v>0</v>
      </c>
      <c r="J11" s="242">
        <f>'Servizi di Trasporto Dati'!K13</f>
        <v>0</v>
      </c>
      <c r="K11" s="242">
        <f>'Servizi di Trasporto Dati'!L13</f>
        <v>0</v>
      </c>
      <c r="L11" s="243">
        <f>'Servizi di Trasporto Dati'!M13</f>
        <v>0</v>
      </c>
      <c r="M11" s="50">
        <f>IF($B11&lt;&gt;0,VLOOKUP($B11,Listini!$A$3:$V$44,3,FALSE)*(1+IF($D11="Si",(Listini!$E$46-100)/100,0)+IF($F11="Si",(Listini!$E$48-100)/100,0)),0)</f>
        <v>0</v>
      </c>
      <c r="N11" s="50">
        <f>IF($B11&lt;&gt;0,(VLOOKUP($B11,Listini!$A$2:$V$44,4,FALSE)+IF($C11="Si",Listini!$D$45,0)+IF($G11&lt;&gt;0,VLOOKUP($G11,Listini!$A$54:$V$57,4,FALSE),0))*(1+IF($D11="Si",(Listini!$F$46-100)/100,0)+IF($E11="Si",(Listini!$F$47-100)/100,0)+IF($F11="Si",(Listini!$F$48-100)/100,0))+$H11*Listini!$D$49+'Riepilogo Fabbisogni'!I11*Listini!$D$50+'Riepilogo Fabbisogni'!J11*Listini!$D$51+'Riepilogo Fabbisogni'!K11*Listini!$D$52+$L11*Listini!$D$53,0)</f>
        <v>0</v>
      </c>
      <c r="O11" s="50">
        <f>IF($B11&lt;&gt;0,VLOOKUP($B11,Listini!$A$3:$V$44,7,FALSE)*(1+IF($D11="Si",(Listini!$I$46-100)/100,0)+IF($F11="Si",(Listini!$I$48-100)/100,0)),0)</f>
        <v>0</v>
      </c>
      <c r="P11" s="50">
        <f>IF($B11&lt;&gt;0,(VLOOKUP($B11,Listini!$A$2:$V$44,8,FALSE)+IF($C11="Si",Listini!$H$45,0)+IF($G11&lt;&gt;0,VLOOKUP($G11,Listini!$A$54:$V$57,8,FALSE),0))*(1+IF($D11="Si",(Listini!$J$46-100)/100,0)+IF($E11="Si",(Listini!$J$47-100)/100,0)+IF($F11="Si",(Listini!$J$48-100)/100,0))+$H11*Listini!$H$49+'Riepilogo Fabbisogni'!I11*Listini!$H$50+'Riepilogo Fabbisogni'!J11*Listini!$H$51+'Riepilogo Fabbisogni'!K11*Listini!$H$52+$L11*Listini!$H$53,0)</f>
        <v>0</v>
      </c>
      <c r="Q11" s="50">
        <f>IF($B11&lt;&gt;0,VLOOKUP($B11,Listini!$A$3:$V$44,11,FALSE)*(1+IF($D11="Si",(Listini!$M$46-100)/100,0)+IF($F11="Si",(Listini!$M$48-100)/100,0)),0)</f>
        <v>0</v>
      </c>
      <c r="R11" s="50">
        <f>IF($B11&lt;&gt;0,(VLOOKUP($B11,Listini!$A$2:$V$44,12,FALSE)+IF($C11="Si",Listini!$L$45,0)+IF($G11&lt;&gt;0,VLOOKUP($G11,Listini!$A$54:$V$57,12,FALSE),0))*(1+IF($D11="Si",(Listini!$N$46-100)/100,0)+IF($E11="Si",(Listini!$N$47-100)/100,0)+IF($F11="Si",(Listini!$N$48-100)/100,0))+$H11*Listini!$L$49+'Riepilogo Fabbisogni'!I11*Listini!$L$50+'Riepilogo Fabbisogni'!J11*Listini!$L$51+'Riepilogo Fabbisogni'!K11*Listini!$L$52+$L11*Listini!$L$53,0)</f>
        <v>0</v>
      </c>
      <c r="S11" s="244">
        <f>IF($B11&lt;&gt;0,VLOOKUP($B11,Listini!$A$3:$V$44,15,FALSE)*(1+IF($D11="Si",(Listini!$Q$46-100)/100,0)+IF($F11="Si",(Listini!$Q$48-100)/100,0)),0)</f>
        <v>0</v>
      </c>
      <c r="T11" s="244">
        <f>IF($B11&lt;&gt;0,(VLOOKUP($B11,Listini!$A$2:$V$44,16,FALSE)+IF($C11="Si",Listini!$P$45,0)+IF($G11&lt;&gt;0,VLOOKUP($G11,Listini!$A$54:$V$57,16,FALSE),0))*(1+IF($D11="Si",(Listini!$R$46-100)/100,0)+IF($E11="Si",(Listini!$R$47-100)/100,0)+IF($F11="Si",(Listini!$R$48-100)/100,0))+$H11*Listini!$P$49+'Riepilogo Fabbisogni'!I11*Listini!$P$50+'Riepilogo Fabbisogni'!J11*Listini!$P$51+'Riepilogo Fabbisogni'!K11*Listini!$P$52+$L11*Listini!$P$53,0)</f>
        <v>0</v>
      </c>
      <c r="U11" s="244">
        <f>IF($B11&lt;&gt;0,VLOOKUP($B11,Listini!$A$3:$V$44,19,FALSE)*(1+IF($D11="Si",(Listini!$U$46-100)/100,0)+IF($F11="Si",(Listini!$U$48-100)/100,0)),0)</f>
        <v>0</v>
      </c>
      <c r="V11" s="244">
        <f>IF($B11&lt;&gt;0,(VLOOKUP($B11,Listini!$A$2:$V$44,20,FALSE)+IF($C11="Si",Listini!$T$45,0)+IF($G11&lt;&gt;0,VLOOKUP($G11,Listini!$A$54:$V$57,20,FALSE),0))*(1+IF($D11="Si",(Listini!$V$46-100)/100,0)+IF($E11="Si",(Listini!$V$47-100)/100,0)+IF($F11="Si",(Listini!$V$48-100)/100,0))+$H11*Listini!$T$49+'Riepilogo Fabbisogni'!I11*Listini!$T$50+'Riepilogo Fabbisogni'!J11*Listini!$T$51+'Riepilogo Fabbisogni'!K11*Listini!$T$52+$L11*Listini!$T$53,0)</f>
        <v>0</v>
      </c>
      <c r="W11" s="244">
        <f>IF($B11&lt;&gt;0,VLOOKUP($B11,'Listino Offerta'!$A$2:$F$44,3,FALSE)*(1+IF($D11="Si",('Listino Offerta'!$E$46-100)/100,0)+IF($F11="Si",('Listino Offerta'!$E$48-100)/100,0)),0)</f>
        <v>0</v>
      </c>
      <c r="X11" s="244">
        <f>IF($B11&lt;&gt;0,(VLOOKUP($B11,'Listino Offerta'!$A$2:$F$44,4,FALSE)+IF($C11="Si",'Listino Offerta'!$D$45,0)+IF($G11&lt;&gt;0,VLOOKUP($G11,'Listino Offerta'!$A$54:$F$57,4,FALSE),0))*(1+IF($D11="Si",('Listino Offerta'!$F$46-100)/100,0)+IF($E11="Si",('Listino Offerta'!$F$47-100)/100,0)+IF($F11="Si",('Listino Offerta'!$F$48-100)/100,0))+$H11*'Listino Offerta'!$D$49+'Riepilogo Fabbisogni'!I11*'Listino Offerta'!$D$50+'Riepilogo Fabbisogni'!J11*'Listino Offerta'!$D$51+'Riepilogo Fabbisogni'!K11*'Listino Offerta'!$D$52+$L11*'Listino Offerta'!$D$53,0)</f>
        <v>0</v>
      </c>
    </row>
    <row r="12" spans="1:24" s="244" customFormat="1" ht="12.75" customHeight="1">
      <c r="A12" s="241">
        <v>10</v>
      </c>
      <c r="B12" s="242">
        <f>'Servizi di Trasporto Dati'!D14</f>
        <v>0</v>
      </c>
      <c r="C12" s="242">
        <f>'Servizi di Trasporto Dati'!E14</f>
        <v>0</v>
      </c>
      <c r="D12" s="242" t="str">
        <f>IF(AND('Servizi di Trasporto Dati'!F14="Si",'Servizi di Trasporto Dati'!G14&lt;&gt;"Si"),"Si","")</f>
        <v/>
      </c>
      <c r="E12" s="242" t="str">
        <f>IF(AND('Servizi di Trasporto Dati'!F14&lt;&gt;"Si",'Servizi di Trasporto Dati'!G14="Si"),"Si","")</f>
        <v/>
      </c>
      <c r="F12" s="242" t="str">
        <f>IF(AND('Servizi di Trasporto Dati'!F14="Si",'Servizi di Trasporto Dati'!G14="Si"),"Si","")</f>
        <v/>
      </c>
      <c r="G12" s="242">
        <f>'Servizi di Trasporto Dati'!H14</f>
        <v>0</v>
      </c>
      <c r="H12" s="242">
        <f>'Servizi di Trasporto Dati'!I14</f>
        <v>0</v>
      </c>
      <c r="I12" s="242">
        <f>'Servizi di Trasporto Dati'!J14</f>
        <v>0</v>
      </c>
      <c r="J12" s="242">
        <f>'Servizi di Trasporto Dati'!K14</f>
        <v>0</v>
      </c>
      <c r="K12" s="242">
        <f>'Servizi di Trasporto Dati'!L14</f>
        <v>0</v>
      </c>
      <c r="L12" s="243">
        <f>'Servizi di Trasporto Dati'!M14</f>
        <v>0</v>
      </c>
      <c r="M12" s="50">
        <f>IF($B12&lt;&gt;0,VLOOKUP($B12,Listini!$A$3:$V$44,3,FALSE)*(1+IF($D12="Si",(Listini!$E$46-100)/100,0)+IF($F12="Si",(Listini!$E$48-100)/100,0)),0)</f>
        <v>0</v>
      </c>
      <c r="N12" s="50">
        <f>IF($B12&lt;&gt;0,(VLOOKUP($B12,Listini!$A$2:$V$44,4,FALSE)+IF($C12="Si",Listini!$D$45,0)+IF($G12&lt;&gt;0,VLOOKUP($G12,Listini!$A$54:$V$57,4,FALSE),0))*(1+IF($D12="Si",(Listini!$F$46-100)/100,0)+IF($E12="Si",(Listini!$F$47-100)/100,0)+IF($F12="Si",(Listini!$F$48-100)/100,0))+$H12*Listini!$D$49+'Riepilogo Fabbisogni'!I12*Listini!$D$50+'Riepilogo Fabbisogni'!J12*Listini!$D$51+'Riepilogo Fabbisogni'!K12*Listini!$D$52+$L12*Listini!$D$53,0)</f>
        <v>0</v>
      </c>
      <c r="O12" s="50">
        <f>IF($B12&lt;&gt;0,VLOOKUP($B12,Listini!$A$3:$V$44,7,FALSE)*(1+IF($D12="Si",(Listini!$I$46-100)/100,0)+IF($F12="Si",(Listini!$I$48-100)/100,0)),0)</f>
        <v>0</v>
      </c>
      <c r="P12" s="50">
        <f>IF($B12&lt;&gt;0,(VLOOKUP($B12,Listini!$A$2:$V$44,8,FALSE)+IF($C12="Si",Listini!$H$45,0)+IF($G12&lt;&gt;0,VLOOKUP($G12,Listini!$A$54:$V$57,8,FALSE),0))*(1+IF($D12="Si",(Listini!$J$46-100)/100,0)+IF($E12="Si",(Listini!$J$47-100)/100,0)+IF($F12="Si",(Listini!$J$48-100)/100,0))+$H12*Listini!$H$49+'Riepilogo Fabbisogni'!I12*Listini!$H$50+'Riepilogo Fabbisogni'!J12*Listini!$H$51+'Riepilogo Fabbisogni'!K12*Listini!$H$52+$L12*Listini!$H$53,0)</f>
        <v>0</v>
      </c>
      <c r="Q12" s="50">
        <f>IF($B12&lt;&gt;0,VLOOKUP($B12,Listini!$A$3:$V$44,11,FALSE)*(1+IF($D12="Si",(Listini!$M$46-100)/100,0)+IF($F12="Si",(Listini!$M$48-100)/100,0)),0)</f>
        <v>0</v>
      </c>
      <c r="R12" s="50">
        <f>IF($B12&lt;&gt;0,(VLOOKUP($B12,Listini!$A$2:$V$44,12,FALSE)+IF($C12="Si",Listini!$L$45,0)+IF($G12&lt;&gt;0,VLOOKUP($G12,Listini!$A$54:$V$57,12,FALSE),0))*(1+IF($D12="Si",(Listini!$N$46-100)/100,0)+IF($E12="Si",(Listini!$N$47-100)/100,0)+IF($F12="Si",(Listini!$N$48-100)/100,0))+$H12*Listini!$L$49+'Riepilogo Fabbisogni'!I12*Listini!$L$50+'Riepilogo Fabbisogni'!J12*Listini!$L$51+'Riepilogo Fabbisogni'!K12*Listini!$L$52+$L12*Listini!$L$53,0)</f>
        <v>0</v>
      </c>
      <c r="S12" s="244">
        <f>IF($B12&lt;&gt;0,VLOOKUP($B12,Listini!$A$3:$V$44,15,FALSE)*(1+IF($D12="Si",(Listini!$Q$46-100)/100,0)+IF($F12="Si",(Listini!$Q$48-100)/100,0)),0)</f>
        <v>0</v>
      </c>
      <c r="T12" s="244">
        <f>IF($B12&lt;&gt;0,(VLOOKUP($B12,Listini!$A$2:$V$44,16,FALSE)+IF($C12="Si",Listini!$P$45,0)+IF($G12&lt;&gt;0,VLOOKUP($G12,Listini!$A$54:$V$57,16,FALSE),0))*(1+IF($D12="Si",(Listini!$R$46-100)/100,0)+IF($E12="Si",(Listini!$R$47-100)/100,0)+IF($F12="Si",(Listini!$R$48-100)/100,0))+$H12*Listini!$P$49+'Riepilogo Fabbisogni'!I12*Listini!$P$50+'Riepilogo Fabbisogni'!J12*Listini!$P$51+'Riepilogo Fabbisogni'!K12*Listini!$P$52+$L12*Listini!$P$53,0)</f>
        <v>0</v>
      </c>
      <c r="U12" s="244">
        <f>IF($B12&lt;&gt;0,VLOOKUP($B12,Listini!$A$3:$V$44,19,FALSE)*(1+IF($D12="Si",(Listini!$U$46-100)/100,0)+IF($F12="Si",(Listini!$U$48-100)/100,0)),0)</f>
        <v>0</v>
      </c>
      <c r="V12" s="244">
        <f>IF($B12&lt;&gt;0,(VLOOKUP($B12,Listini!$A$2:$V$44,20,FALSE)+IF($C12="Si",Listini!$T$45,0)+IF($G12&lt;&gt;0,VLOOKUP($G12,Listini!$A$54:$V$57,20,FALSE),0))*(1+IF($D12="Si",(Listini!$V$46-100)/100,0)+IF($E12="Si",(Listini!$V$47-100)/100,0)+IF($F12="Si",(Listini!$V$48-100)/100,0))+$H12*Listini!$T$49+'Riepilogo Fabbisogni'!I12*Listini!$T$50+'Riepilogo Fabbisogni'!J12*Listini!$T$51+'Riepilogo Fabbisogni'!K12*Listini!$T$52+$L12*Listini!$T$53,0)</f>
        <v>0</v>
      </c>
      <c r="W12" s="244">
        <f>IF($B12&lt;&gt;0,VLOOKUP($B12,'Listino Offerta'!$A$2:$F$44,3,FALSE)*(1+IF($D12="Si",('Listino Offerta'!$E$46-100)/100,0)+IF($F12="Si",('Listino Offerta'!$E$48-100)/100,0)),0)</f>
        <v>0</v>
      </c>
      <c r="X12" s="244">
        <f>IF($B12&lt;&gt;0,(VLOOKUP($B12,'Listino Offerta'!$A$2:$F$44,4,FALSE)+IF($C12="Si",'Listino Offerta'!$D$45,0)+IF($G12&lt;&gt;0,VLOOKUP($G12,'Listino Offerta'!$A$54:$F$57,4,FALSE),0))*(1+IF($D12="Si",('Listino Offerta'!$F$46-100)/100,0)+IF($E12="Si",('Listino Offerta'!$F$47-100)/100,0)+IF($F12="Si",('Listino Offerta'!$F$48-100)/100,0))+$H12*'Listino Offerta'!$D$49+'Riepilogo Fabbisogni'!I12*'Listino Offerta'!$D$50+'Riepilogo Fabbisogni'!J12*'Listino Offerta'!$D$51+'Riepilogo Fabbisogni'!K12*'Listino Offerta'!$D$52+$L12*'Listino Offerta'!$D$53,0)</f>
        <v>0</v>
      </c>
    </row>
    <row r="13" spans="1:24" s="244" customFormat="1" ht="12.75" customHeight="1">
      <c r="A13" s="241">
        <v>11</v>
      </c>
      <c r="B13" s="242">
        <f>'Servizi di Trasporto Dati'!D15</f>
        <v>0</v>
      </c>
      <c r="C13" s="242">
        <f>'Servizi di Trasporto Dati'!E15</f>
        <v>0</v>
      </c>
      <c r="D13" s="242" t="str">
        <f>IF(AND('Servizi di Trasporto Dati'!F15="Si",'Servizi di Trasporto Dati'!G15&lt;&gt;"Si"),"Si","")</f>
        <v/>
      </c>
      <c r="E13" s="242" t="str">
        <f>IF(AND('Servizi di Trasporto Dati'!F15&lt;&gt;"Si",'Servizi di Trasporto Dati'!G15="Si"),"Si","")</f>
        <v/>
      </c>
      <c r="F13" s="242" t="str">
        <f>IF(AND('Servizi di Trasporto Dati'!F15="Si",'Servizi di Trasporto Dati'!G15="Si"),"Si","")</f>
        <v/>
      </c>
      <c r="G13" s="242">
        <f>'Servizi di Trasporto Dati'!H15</f>
        <v>0</v>
      </c>
      <c r="H13" s="242">
        <f>'Servizi di Trasporto Dati'!I15</f>
        <v>0</v>
      </c>
      <c r="I13" s="242">
        <f>'Servizi di Trasporto Dati'!J15</f>
        <v>0</v>
      </c>
      <c r="J13" s="242">
        <f>'Servizi di Trasporto Dati'!K15</f>
        <v>0</v>
      </c>
      <c r="K13" s="242">
        <f>'Servizi di Trasporto Dati'!L15</f>
        <v>0</v>
      </c>
      <c r="L13" s="243">
        <f>'Servizi di Trasporto Dati'!M15</f>
        <v>0</v>
      </c>
      <c r="M13" s="50">
        <f>IF($B13&lt;&gt;0,VLOOKUP($B13,Listini!$A$3:$V$44,3,FALSE)*(1+IF($D13="Si",(Listini!$E$46-100)/100,0)+IF($F13="Si",(Listini!$E$48-100)/100,0)),0)</f>
        <v>0</v>
      </c>
      <c r="N13" s="50">
        <f>IF($B13&lt;&gt;0,(VLOOKUP($B13,Listini!$A$2:$V$44,4,FALSE)+IF($C13="Si",Listini!$D$45,0)+IF($G13&lt;&gt;0,VLOOKUP($G13,Listini!$A$54:$V$57,4,FALSE),0))*(1+IF($D13="Si",(Listini!$F$46-100)/100,0)+IF($E13="Si",(Listini!$F$47-100)/100,0)+IF($F13="Si",(Listini!$F$48-100)/100,0))+$H13*Listini!$D$49+'Riepilogo Fabbisogni'!I13*Listini!$D$50+'Riepilogo Fabbisogni'!J13*Listini!$D$51+'Riepilogo Fabbisogni'!K13*Listini!$D$52+$L13*Listini!$D$53,0)</f>
        <v>0</v>
      </c>
      <c r="O13" s="50">
        <f>IF($B13&lt;&gt;0,VLOOKUP($B13,Listini!$A$3:$V$44,7,FALSE)*(1+IF($D13="Si",(Listini!$I$46-100)/100,0)+IF($F13="Si",(Listini!$I$48-100)/100,0)),0)</f>
        <v>0</v>
      </c>
      <c r="P13" s="50">
        <f>IF($B13&lt;&gt;0,(VLOOKUP($B13,Listini!$A$2:$V$44,8,FALSE)+IF($C13="Si",Listini!$H$45,0)+IF($G13&lt;&gt;0,VLOOKUP($G13,Listini!$A$54:$V$57,8,FALSE),0))*(1+IF($D13="Si",(Listini!$J$46-100)/100,0)+IF($E13="Si",(Listini!$J$47-100)/100,0)+IF($F13="Si",(Listini!$J$48-100)/100,0))+$H13*Listini!$H$49+'Riepilogo Fabbisogni'!I13*Listini!$H$50+'Riepilogo Fabbisogni'!J13*Listini!$H$51+'Riepilogo Fabbisogni'!K13*Listini!$H$52+$L13*Listini!$H$53,0)</f>
        <v>0</v>
      </c>
      <c r="Q13" s="50">
        <f>IF($B13&lt;&gt;0,VLOOKUP($B13,Listini!$A$3:$V$44,11,FALSE)*(1+IF($D13="Si",(Listini!$M$46-100)/100,0)+IF($F13="Si",(Listini!$M$48-100)/100,0)),0)</f>
        <v>0</v>
      </c>
      <c r="R13" s="50">
        <f>IF($B13&lt;&gt;0,(VLOOKUP($B13,Listini!$A$2:$V$44,12,FALSE)+IF($C13="Si",Listini!$L$45,0)+IF($G13&lt;&gt;0,VLOOKUP($G13,Listini!$A$54:$V$57,12,FALSE),0))*(1+IF($D13="Si",(Listini!$N$46-100)/100,0)+IF($E13="Si",(Listini!$N$47-100)/100,0)+IF($F13="Si",(Listini!$N$48-100)/100,0))+$H13*Listini!$L$49+'Riepilogo Fabbisogni'!I13*Listini!$L$50+'Riepilogo Fabbisogni'!J13*Listini!$L$51+'Riepilogo Fabbisogni'!K13*Listini!$L$52+$L13*Listini!$L$53,0)</f>
        <v>0</v>
      </c>
      <c r="S13" s="244">
        <f>IF($B13&lt;&gt;0,VLOOKUP($B13,Listini!$A$3:$V$44,15,FALSE)*(1+IF($D13="Si",(Listini!$Q$46-100)/100,0)+IF($F13="Si",(Listini!$Q$48-100)/100,0)),0)</f>
        <v>0</v>
      </c>
      <c r="T13" s="244">
        <f>IF($B13&lt;&gt;0,(VLOOKUP($B13,Listini!$A$2:$V$44,16,FALSE)+IF($C13="Si",Listini!$P$45,0)+IF($G13&lt;&gt;0,VLOOKUP($G13,Listini!$A$54:$V$57,16,FALSE),0))*(1+IF($D13="Si",(Listini!$R$46-100)/100,0)+IF($E13="Si",(Listini!$R$47-100)/100,0)+IF($F13="Si",(Listini!$R$48-100)/100,0))+$H13*Listini!$P$49+'Riepilogo Fabbisogni'!I13*Listini!$P$50+'Riepilogo Fabbisogni'!J13*Listini!$P$51+'Riepilogo Fabbisogni'!K13*Listini!$P$52+$L13*Listini!$P$53,0)</f>
        <v>0</v>
      </c>
      <c r="U13" s="244">
        <f>IF($B13&lt;&gt;0,VLOOKUP($B13,Listini!$A$3:$V$44,19,FALSE)*(1+IF($D13="Si",(Listini!$U$46-100)/100,0)+IF($F13="Si",(Listini!$U$48-100)/100,0)),0)</f>
        <v>0</v>
      </c>
      <c r="V13" s="244">
        <f>IF($B13&lt;&gt;0,(VLOOKUP($B13,Listini!$A$2:$V$44,20,FALSE)+IF($C13="Si",Listini!$T$45,0)+IF($G13&lt;&gt;0,VLOOKUP($G13,Listini!$A$54:$V$57,20,FALSE),0))*(1+IF($D13="Si",(Listini!$V$46-100)/100,0)+IF($E13="Si",(Listini!$V$47-100)/100,0)+IF($F13="Si",(Listini!$V$48-100)/100,0))+$H13*Listini!$T$49+'Riepilogo Fabbisogni'!I13*Listini!$T$50+'Riepilogo Fabbisogni'!J13*Listini!$T$51+'Riepilogo Fabbisogni'!K13*Listini!$T$52+$L13*Listini!$T$53,0)</f>
        <v>0</v>
      </c>
      <c r="W13" s="244">
        <f>IF($B13&lt;&gt;0,VLOOKUP($B13,'Listino Offerta'!$A$2:$F$44,3,FALSE)*(1+IF($D13="Si",('Listino Offerta'!$E$46-100)/100,0)+IF($F13="Si",('Listino Offerta'!$E$48-100)/100,0)),0)</f>
        <v>0</v>
      </c>
      <c r="X13" s="244">
        <f>IF($B13&lt;&gt;0,(VLOOKUP($B13,'Listino Offerta'!$A$2:$F$44,4,FALSE)+IF($C13="Si",'Listino Offerta'!$D$45,0)+IF($G13&lt;&gt;0,VLOOKUP($G13,'Listino Offerta'!$A$54:$F$57,4,FALSE),0))*(1+IF($D13="Si",('Listino Offerta'!$F$46-100)/100,0)+IF($E13="Si",('Listino Offerta'!$F$47-100)/100,0)+IF($F13="Si",('Listino Offerta'!$F$48-100)/100,0))+$H13*'Listino Offerta'!$D$49+'Riepilogo Fabbisogni'!I13*'Listino Offerta'!$D$50+'Riepilogo Fabbisogni'!J13*'Listino Offerta'!$D$51+'Riepilogo Fabbisogni'!K13*'Listino Offerta'!$D$52+$L13*'Listino Offerta'!$D$53,0)</f>
        <v>0</v>
      </c>
    </row>
    <row r="14" spans="1:24" s="244" customFormat="1" ht="12.75" customHeight="1">
      <c r="A14" s="241">
        <v>12</v>
      </c>
      <c r="B14" s="242">
        <f>'Servizi di Trasporto Dati'!D16</f>
        <v>0</v>
      </c>
      <c r="C14" s="242">
        <f>'Servizi di Trasporto Dati'!E16</f>
        <v>0</v>
      </c>
      <c r="D14" s="242" t="str">
        <f>IF(AND('Servizi di Trasporto Dati'!F16="Si",'Servizi di Trasporto Dati'!G16&lt;&gt;"Si"),"Si","")</f>
        <v/>
      </c>
      <c r="E14" s="242" t="str">
        <f>IF(AND('Servizi di Trasporto Dati'!F16&lt;&gt;"Si",'Servizi di Trasporto Dati'!G16="Si"),"Si","")</f>
        <v/>
      </c>
      <c r="F14" s="242" t="str">
        <f>IF(AND('Servizi di Trasporto Dati'!F16="Si",'Servizi di Trasporto Dati'!G16="Si"),"Si","")</f>
        <v/>
      </c>
      <c r="G14" s="242">
        <f>'Servizi di Trasporto Dati'!H16</f>
        <v>0</v>
      </c>
      <c r="H14" s="242">
        <f>'Servizi di Trasporto Dati'!I16</f>
        <v>0</v>
      </c>
      <c r="I14" s="242">
        <f>'Servizi di Trasporto Dati'!J16</f>
        <v>0</v>
      </c>
      <c r="J14" s="242">
        <f>'Servizi di Trasporto Dati'!K16</f>
        <v>0</v>
      </c>
      <c r="K14" s="242">
        <f>'Servizi di Trasporto Dati'!L16</f>
        <v>0</v>
      </c>
      <c r="L14" s="243">
        <f>'Servizi di Trasporto Dati'!M16</f>
        <v>0</v>
      </c>
      <c r="M14" s="50">
        <f>IF($B14&lt;&gt;0,VLOOKUP($B14,Listini!$A$3:$V$44,3,FALSE)*(1+IF($D14="Si",(Listini!$E$46-100)/100,0)+IF($F14="Si",(Listini!$E$48-100)/100,0)),0)</f>
        <v>0</v>
      </c>
      <c r="N14" s="50">
        <f>IF($B14&lt;&gt;0,(VLOOKUP($B14,Listini!$A$2:$V$44,4,FALSE)+IF($C14="Si",Listini!$D$45,0)+IF($G14&lt;&gt;0,VLOOKUP($G14,Listini!$A$54:$V$57,4,FALSE),0))*(1+IF($D14="Si",(Listini!$F$46-100)/100,0)+IF($E14="Si",(Listini!$F$47-100)/100,0)+IF($F14="Si",(Listini!$F$48-100)/100,0))+$H14*Listini!$D$49+'Riepilogo Fabbisogni'!I14*Listini!$D$50+'Riepilogo Fabbisogni'!J14*Listini!$D$51+'Riepilogo Fabbisogni'!K14*Listini!$D$52+$L14*Listini!$D$53,0)</f>
        <v>0</v>
      </c>
      <c r="O14" s="50">
        <f>IF($B14&lt;&gt;0,VLOOKUP($B14,Listini!$A$3:$V$44,7,FALSE)*(1+IF($D14="Si",(Listini!$I$46-100)/100,0)+IF($F14="Si",(Listini!$I$48-100)/100,0)),0)</f>
        <v>0</v>
      </c>
      <c r="P14" s="50">
        <f>IF($B14&lt;&gt;0,(VLOOKUP($B14,Listini!$A$2:$V$44,8,FALSE)+IF($C14="Si",Listini!$H$45,0)+IF($G14&lt;&gt;0,VLOOKUP($G14,Listini!$A$54:$V$57,8,FALSE),0))*(1+IF($D14="Si",(Listini!$J$46-100)/100,0)+IF($E14="Si",(Listini!$J$47-100)/100,0)+IF($F14="Si",(Listini!$J$48-100)/100,0))+$H14*Listini!$H$49+'Riepilogo Fabbisogni'!I14*Listini!$H$50+'Riepilogo Fabbisogni'!J14*Listini!$H$51+'Riepilogo Fabbisogni'!K14*Listini!$H$52+$L14*Listini!$H$53,0)</f>
        <v>0</v>
      </c>
      <c r="Q14" s="50">
        <f>IF($B14&lt;&gt;0,VLOOKUP($B14,Listini!$A$3:$V$44,11,FALSE)*(1+IF($D14="Si",(Listini!$M$46-100)/100,0)+IF($F14="Si",(Listini!$M$48-100)/100,0)),0)</f>
        <v>0</v>
      </c>
      <c r="R14" s="50">
        <f>IF($B14&lt;&gt;0,(VLOOKUP($B14,Listini!$A$2:$V$44,12,FALSE)+IF($C14="Si",Listini!$L$45,0)+IF($G14&lt;&gt;0,VLOOKUP($G14,Listini!$A$54:$V$57,12,FALSE),0))*(1+IF($D14="Si",(Listini!$N$46-100)/100,0)+IF($E14="Si",(Listini!$N$47-100)/100,0)+IF($F14="Si",(Listini!$N$48-100)/100,0))+$H14*Listini!$L$49+'Riepilogo Fabbisogni'!I14*Listini!$L$50+'Riepilogo Fabbisogni'!J14*Listini!$L$51+'Riepilogo Fabbisogni'!K14*Listini!$L$52+$L14*Listini!$L$53,0)</f>
        <v>0</v>
      </c>
      <c r="S14" s="244">
        <f>IF($B14&lt;&gt;0,VLOOKUP($B14,Listini!$A$3:$V$44,15,FALSE)*(1+IF($D14="Si",(Listini!$Q$46-100)/100,0)+IF($F14="Si",(Listini!$Q$48-100)/100,0)),0)</f>
        <v>0</v>
      </c>
      <c r="T14" s="244">
        <f>IF($B14&lt;&gt;0,(VLOOKUP($B14,Listini!$A$2:$V$44,16,FALSE)+IF($C14="Si",Listini!$P$45,0)+IF($G14&lt;&gt;0,VLOOKUP($G14,Listini!$A$54:$V$57,16,FALSE),0))*(1+IF($D14="Si",(Listini!$R$46-100)/100,0)+IF($E14="Si",(Listini!$R$47-100)/100,0)+IF($F14="Si",(Listini!$R$48-100)/100,0))+$H14*Listini!$P$49+'Riepilogo Fabbisogni'!I14*Listini!$P$50+'Riepilogo Fabbisogni'!J14*Listini!$P$51+'Riepilogo Fabbisogni'!K14*Listini!$P$52+$L14*Listini!$P$53,0)</f>
        <v>0</v>
      </c>
      <c r="U14" s="244">
        <f>IF($B14&lt;&gt;0,VLOOKUP($B14,Listini!$A$3:$V$44,19,FALSE)*(1+IF($D14="Si",(Listini!$U$46-100)/100,0)+IF($F14="Si",(Listini!$U$48-100)/100,0)),0)</f>
        <v>0</v>
      </c>
      <c r="V14" s="244">
        <f>IF($B14&lt;&gt;0,(VLOOKUP($B14,Listini!$A$2:$V$44,20,FALSE)+IF($C14="Si",Listini!$T$45,0)+IF($G14&lt;&gt;0,VLOOKUP($G14,Listini!$A$54:$V$57,20,FALSE),0))*(1+IF($D14="Si",(Listini!$V$46-100)/100,0)+IF($E14="Si",(Listini!$V$47-100)/100,0)+IF($F14="Si",(Listini!$V$48-100)/100,0))+$H14*Listini!$T$49+'Riepilogo Fabbisogni'!I14*Listini!$T$50+'Riepilogo Fabbisogni'!J14*Listini!$T$51+'Riepilogo Fabbisogni'!K14*Listini!$T$52+$L14*Listini!$T$53,0)</f>
        <v>0</v>
      </c>
      <c r="W14" s="244">
        <f>IF($B14&lt;&gt;0,VLOOKUP($B14,'Listino Offerta'!$A$2:$F$44,3,FALSE)*(1+IF($D14="Si",('Listino Offerta'!$E$46-100)/100,0)+IF($F14="Si",('Listino Offerta'!$E$48-100)/100,0)),0)</f>
        <v>0</v>
      </c>
      <c r="X14" s="244">
        <f>IF($B14&lt;&gt;0,(VLOOKUP($B14,'Listino Offerta'!$A$2:$F$44,4,FALSE)+IF($C14="Si",'Listino Offerta'!$D$45,0)+IF($G14&lt;&gt;0,VLOOKUP($G14,'Listino Offerta'!$A$54:$F$57,4,FALSE),0))*(1+IF($D14="Si",('Listino Offerta'!$F$46-100)/100,0)+IF($E14="Si",('Listino Offerta'!$F$47-100)/100,0)+IF($F14="Si",('Listino Offerta'!$F$48-100)/100,0))+$H14*'Listino Offerta'!$D$49+'Riepilogo Fabbisogni'!I14*'Listino Offerta'!$D$50+'Riepilogo Fabbisogni'!J14*'Listino Offerta'!$D$51+'Riepilogo Fabbisogni'!K14*'Listino Offerta'!$D$52+$L14*'Listino Offerta'!$D$53,0)</f>
        <v>0</v>
      </c>
    </row>
    <row r="15" spans="1:24" s="244" customFormat="1" ht="12.75" customHeight="1">
      <c r="A15" s="241">
        <v>13</v>
      </c>
      <c r="B15" s="242">
        <f>'Servizi di Trasporto Dati'!D17</f>
        <v>0</v>
      </c>
      <c r="C15" s="242">
        <f>'Servizi di Trasporto Dati'!E17</f>
        <v>0</v>
      </c>
      <c r="D15" s="242" t="str">
        <f>IF(AND('Servizi di Trasporto Dati'!F17="Si",'Servizi di Trasporto Dati'!G17&lt;&gt;"Si"),"Si","")</f>
        <v/>
      </c>
      <c r="E15" s="242" t="str">
        <f>IF(AND('Servizi di Trasporto Dati'!F17&lt;&gt;"Si",'Servizi di Trasporto Dati'!G17="Si"),"Si","")</f>
        <v/>
      </c>
      <c r="F15" s="242" t="str">
        <f>IF(AND('Servizi di Trasporto Dati'!F17="Si",'Servizi di Trasporto Dati'!G17="Si"),"Si","")</f>
        <v/>
      </c>
      <c r="G15" s="242">
        <f>'Servizi di Trasporto Dati'!H17</f>
        <v>0</v>
      </c>
      <c r="H15" s="242">
        <f>'Servizi di Trasporto Dati'!I17</f>
        <v>0</v>
      </c>
      <c r="I15" s="242">
        <f>'Servizi di Trasporto Dati'!J17</f>
        <v>0</v>
      </c>
      <c r="J15" s="242">
        <f>'Servizi di Trasporto Dati'!K17</f>
        <v>0</v>
      </c>
      <c r="K15" s="242">
        <f>'Servizi di Trasporto Dati'!L17</f>
        <v>0</v>
      </c>
      <c r="L15" s="243">
        <f>'Servizi di Trasporto Dati'!M17</f>
        <v>0</v>
      </c>
      <c r="M15" s="50">
        <f>IF($B15&lt;&gt;0,VLOOKUP($B15,Listini!$A$3:$V$44,3,FALSE)*(1+IF($D15="Si",(Listini!$E$46-100)/100,0)+IF($F15="Si",(Listini!$E$48-100)/100,0)),0)</f>
        <v>0</v>
      </c>
      <c r="N15" s="50">
        <f>IF($B15&lt;&gt;0,(VLOOKUP($B15,Listini!$A$2:$V$44,4,FALSE)+IF($C15="Si",Listini!$D$45,0)+IF($G15&lt;&gt;0,VLOOKUP($G15,Listini!$A$54:$V$57,4,FALSE),0))*(1+IF($D15="Si",(Listini!$F$46-100)/100,0)+IF($E15="Si",(Listini!$F$47-100)/100,0)+IF($F15="Si",(Listini!$F$48-100)/100,0))+$H15*Listini!$D$49+'Riepilogo Fabbisogni'!I15*Listini!$D$50+'Riepilogo Fabbisogni'!J15*Listini!$D$51+'Riepilogo Fabbisogni'!K15*Listini!$D$52+$L15*Listini!$D$53,0)</f>
        <v>0</v>
      </c>
      <c r="O15" s="50">
        <f>IF($B15&lt;&gt;0,VLOOKUP($B15,Listini!$A$3:$V$44,7,FALSE)*(1+IF($D15="Si",(Listini!$I$46-100)/100,0)+IF($F15="Si",(Listini!$I$48-100)/100,0)),0)</f>
        <v>0</v>
      </c>
      <c r="P15" s="50">
        <f>IF($B15&lt;&gt;0,(VLOOKUP($B15,Listini!$A$2:$V$44,8,FALSE)+IF($C15="Si",Listini!$H$45,0)+IF($G15&lt;&gt;0,VLOOKUP($G15,Listini!$A$54:$V$57,8,FALSE),0))*(1+IF($D15="Si",(Listini!$J$46-100)/100,0)+IF($E15="Si",(Listini!$J$47-100)/100,0)+IF($F15="Si",(Listini!$J$48-100)/100,0))+$H15*Listini!$H$49+'Riepilogo Fabbisogni'!I15*Listini!$H$50+'Riepilogo Fabbisogni'!J15*Listini!$H$51+'Riepilogo Fabbisogni'!K15*Listini!$H$52+$L15*Listini!$H$53,0)</f>
        <v>0</v>
      </c>
      <c r="Q15" s="50">
        <f>IF($B15&lt;&gt;0,VLOOKUP($B15,Listini!$A$3:$V$44,11,FALSE)*(1+IF($D15="Si",(Listini!$M$46-100)/100,0)+IF($F15="Si",(Listini!$M$48-100)/100,0)),0)</f>
        <v>0</v>
      </c>
      <c r="R15" s="50">
        <f>IF($B15&lt;&gt;0,(VLOOKUP($B15,Listini!$A$2:$V$44,12,FALSE)+IF($C15="Si",Listini!$L$45,0)+IF($G15&lt;&gt;0,VLOOKUP($G15,Listini!$A$54:$V$57,12,FALSE),0))*(1+IF($D15="Si",(Listini!$N$46-100)/100,0)+IF($E15="Si",(Listini!$N$47-100)/100,0)+IF($F15="Si",(Listini!$N$48-100)/100,0))+$H15*Listini!$L$49+'Riepilogo Fabbisogni'!I15*Listini!$L$50+'Riepilogo Fabbisogni'!J15*Listini!$L$51+'Riepilogo Fabbisogni'!K15*Listini!$L$52+$L15*Listini!$L$53,0)</f>
        <v>0</v>
      </c>
      <c r="S15" s="244">
        <f>IF($B15&lt;&gt;0,VLOOKUP($B15,Listini!$A$3:$V$44,15,FALSE)*(1+IF($D15="Si",(Listini!$Q$46-100)/100,0)+IF($F15="Si",(Listini!$Q$48-100)/100,0)),0)</f>
        <v>0</v>
      </c>
      <c r="T15" s="244">
        <f>IF($B15&lt;&gt;0,(VLOOKUP($B15,Listini!$A$2:$V$44,16,FALSE)+IF($C15="Si",Listini!$P$45,0)+IF($G15&lt;&gt;0,VLOOKUP($G15,Listini!$A$54:$V$57,16,FALSE),0))*(1+IF($D15="Si",(Listini!$R$46-100)/100,0)+IF($E15="Si",(Listini!$R$47-100)/100,0)+IF($F15="Si",(Listini!$R$48-100)/100,0))+$H15*Listini!$P$49+'Riepilogo Fabbisogni'!I15*Listini!$P$50+'Riepilogo Fabbisogni'!J15*Listini!$P$51+'Riepilogo Fabbisogni'!K15*Listini!$P$52+$L15*Listini!$P$53,0)</f>
        <v>0</v>
      </c>
      <c r="U15" s="244">
        <f>IF($B15&lt;&gt;0,VLOOKUP($B15,Listini!$A$3:$V$44,19,FALSE)*(1+IF($D15="Si",(Listini!$U$46-100)/100,0)+IF($F15="Si",(Listini!$U$48-100)/100,0)),0)</f>
        <v>0</v>
      </c>
      <c r="V15" s="244">
        <f>IF($B15&lt;&gt;0,(VLOOKUP($B15,Listini!$A$2:$V$44,20,FALSE)+IF($C15="Si",Listini!$T$45,0)+IF($G15&lt;&gt;0,VLOOKUP($G15,Listini!$A$54:$V$57,20,FALSE),0))*(1+IF($D15="Si",(Listini!$V$46-100)/100,0)+IF($E15="Si",(Listini!$V$47-100)/100,0)+IF($F15="Si",(Listini!$V$48-100)/100,0))+$H15*Listini!$T$49+'Riepilogo Fabbisogni'!I15*Listini!$T$50+'Riepilogo Fabbisogni'!J15*Listini!$T$51+'Riepilogo Fabbisogni'!K15*Listini!$T$52+$L15*Listini!$T$53,0)</f>
        <v>0</v>
      </c>
      <c r="W15" s="244">
        <f>IF($B15&lt;&gt;0,VLOOKUP($B15,'Listino Offerta'!$A$2:$F$44,3,FALSE)*(1+IF($D15="Si",('Listino Offerta'!$E$46-100)/100,0)+IF($F15="Si",('Listino Offerta'!$E$48-100)/100,0)),0)</f>
        <v>0</v>
      </c>
      <c r="X15" s="244">
        <f>IF($B15&lt;&gt;0,(VLOOKUP($B15,'Listino Offerta'!$A$2:$F$44,4,FALSE)+IF($C15="Si",'Listino Offerta'!$D$45,0)+IF($G15&lt;&gt;0,VLOOKUP($G15,'Listino Offerta'!$A$54:$F$57,4,FALSE),0))*(1+IF($D15="Si",('Listino Offerta'!$F$46-100)/100,0)+IF($E15="Si",('Listino Offerta'!$F$47-100)/100,0)+IF($F15="Si",('Listino Offerta'!$F$48-100)/100,0))+$H15*'Listino Offerta'!$D$49+'Riepilogo Fabbisogni'!I15*'Listino Offerta'!$D$50+'Riepilogo Fabbisogni'!J15*'Listino Offerta'!$D$51+'Riepilogo Fabbisogni'!K15*'Listino Offerta'!$D$52+$L15*'Listino Offerta'!$D$53,0)</f>
        <v>0</v>
      </c>
    </row>
    <row r="16" spans="1:24" s="244" customFormat="1" ht="12.75" customHeight="1">
      <c r="A16" s="241">
        <v>14</v>
      </c>
      <c r="B16" s="242">
        <f>'Servizi di Trasporto Dati'!D18</f>
        <v>0</v>
      </c>
      <c r="C16" s="242">
        <f>'Servizi di Trasporto Dati'!E18</f>
        <v>0</v>
      </c>
      <c r="D16" s="242" t="str">
        <f>IF(AND('Servizi di Trasporto Dati'!F18="Si",'Servizi di Trasporto Dati'!G18&lt;&gt;"Si"),"Si","")</f>
        <v/>
      </c>
      <c r="E16" s="242" t="str">
        <f>IF(AND('Servizi di Trasporto Dati'!F18&lt;&gt;"Si",'Servizi di Trasporto Dati'!G18="Si"),"Si","")</f>
        <v/>
      </c>
      <c r="F16" s="242" t="str">
        <f>IF(AND('Servizi di Trasporto Dati'!F18="Si",'Servizi di Trasporto Dati'!G18="Si"),"Si","")</f>
        <v/>
      </c>
      <c r="G16" s="242">
        <f>'Servizi di Trasporto Dati'!H18</f>
        <v>0</v>
      </c>
      <c r="H16" s="242">
        <f>'Servizi di Trasporto Dati'!I18</f>
        <v>0</v>
      </c>
      <c r="I16" s="242">
        <f>'Servizi di Trasporto Dati'!J18</f>
        <v>0</v>
      </c>
      <c r="J16" s="242">
        <f>'Servizi di Trasporto Dati'!K18</f>
        <v>0</v>
      </c>
      <c r="K16" s="242">
        <f>'Servizi di Trasporto Dati'!L18</f>
        <v>0</v>
      </c>
      <c r="L16" s="243">
        <f>'Servizi di Trasporto Dati'!M18</f>
        <v>0</v>
      </c>
      <c r="M16" s="50">
        <f>IF($B16&lt;&gt;0,VLOOKUP($B16,Listini!$A$3:$V$44,3,FALSE)*(1+IF($D16="Si",(Listini!$E$46-100)/100,0)+IF($F16="Si",(Listini!$E$48-100)/100,0)),0)</f>
        <v>0</v>
      </c>
      <c r="N16" s="50">
        <f>IF($B16&lt;&gt;0,(VLOOKUP($B16,Listini!$A$2:$V$44,4,FALSE)+IF($C16="Si",Listini!$D$45,0)+IF($G16&lt;&gt;0,VLOOKUP($G16,Listini!$A$54:$V$57,4,FALSE),0))*(1+IF($D16="Si",(Listini!$F$46-100)/100,0)+IF($E16="Si",(Listini!$F$47-100)/100,0)+IF($F16="Si",(Listini!$F$48-100)/100,0))+$H16*Listini!$D$49+'Riepilogo Fabbisogni'!I16*Listini!$D$50+'Riepilogo Fabbisogni'!J16*Listini!$D$51+'Riepilogo Fabbisogni'!K16*Listini!$D$52+$L16*Listini!$D$53,0)</f>
        <v>0</v>
      </c>
      <c r="O16" s="50">
        <f>IF($B16&lt;&gt;0,VLOOKUP($B16,Listini!$A$3:$V$44,7,FALSE)*(1+IF($D16="Si",(Listini!$I$46-100)/100,0)+IF($F16="Si",(Listini!$I$48-100)/100,0)),0)</f>
        <v>0</v>
      </c>
      <c r="P16" s="50">
        <f>IF($B16&lt;&gt;0,(VLOOKUP($B16,Listini!$A$2:$V$44,8,FALSE)+IF($C16="Si",Listini!$H$45,0)+IF($G16&lt;&gt;0,VLOOKUP($G16,Listini!$A$54:$V$57,8,FALSE),0))*(1+IF($D16="Si",(Listini!$J$46-100)/100,0)+IF($E16="Si",(Listini!$J$47-100)/100,0)+IF($F16="Si",(Listini!$J$48-100)/100,0))+$H16*Listini!$H$49+'Riepilogo Fabbisogni'!I16*Listini!$H$50+'Riepilogo Fabbisogni'!J16*Listini!$H$51+'Riepilogo Fabbisogni'!K16*Listini!$H$52+$L16*Listini!$H$53,0)</f>
        <v>0</v>
      </c>
      <c r="Q16" s="50">
        <f>IF($B16&lt;&gt;0,VLOOKUP($B16,Listini!$A$3:$V$44,11,FALSE)*(1+IF($D16="Si",(Listini!$M$46-100)/100,0)+IF($F16="Si",(Listini!$M$48-100)/100,0)),0)</f>
        <v>0</v>
      </c>
      <c r="R16" s="50">
        <f>IF($B16&lt;&gt;0,(VLOOKUP($B16,Listini!$A$2:$V$44,12,FALSE)+IF($C16="Si",Listini!$L$45,0)+IF($G16&lt;&gt;0,VLOOKUP($G16,Listini!$A$54:$V$57,12,FALSE),0))*(1+IF($D16="Si",(Listini!$N$46-100)/100,0)+IF($E16="Si",(Listini!$N$47-100)/100,0)+IF($F16="Si",(Listini!$N$48-100)/100,0))+$H16*Listini!$L$49+'Riepilogo Fabbisogni'!I16*Listini!$L$50+'Riepilogo Fabbisogni'!J16*Listini!$L$51+'Riepilogo Fabbisogni'!K16*Listini!$L$52+$L16*Listini!$L$53,0)</f>
        <v>0</v>
      </c>
      <c r="S16" s="244">
        <f>IF($B16&lt;&gt;0,VLOOKUP($B16,Listini!$A$3:$V$44,15,FALSE)*(1+IF($D16="Si",(Listini!$Q$46-100)/100,0)+IF($F16="Si",(Listini!$Q$48-100)/100,0)),0)</f>
        <v>0</v>
      </c>
      <c r="T16" s="244">
        <f>IF($B16&lt;&gt;0,(VLOOKUP($B16,Listini!$A$2:$V$44,16,FALSE)+IF($C16="Si",Listini!$P$45,0)+IF($G16&lt;&gt;0,VLOOKUP($G16,Listini!$A$54:$V$57,16,FALSE),0))*(1+IF($D16="Si",(Listini!$R$46-100)/100,0)+IF($E16="Si",(Listini!$R$47-100)/100,0)+IF($F16="Si",(Listini!$R$48-100)/100,0))+$H16*Listini!$P$49+'Riepilogo Fabbisogni'!I16*Listini!$P$50+'Riepilogo Fabbisogni'!J16*Listini!$P$51+'Riepilogo Fabbisogni'!K16*Listini!$P$52+$L16*Listini!$P$53,0)</f>
        <v>0</v>
      </c>
      <c r="U16" s="244">
        <f>IF($B16&lt;&gt;0,VLOOKUP($B16,Listini!$A$3:$V$44,19,FALSE)*(1+IF($D16="Si",(Listini!$U$46-100)/100,0)+IF($F16="Si",(Listini!$U$48-100)/100,0)),0)</f>
        <v>0</v>
      </c>
      <c r="V16" s="244">
        <f>IF($B16&lt;&gt;0,(VLOOKUP($B16,Listini!$A$2:$V$44,20,FALSE)+IF($C16="Si",Listini!$T$45,0)+IF($G16&lt;&gt;0,VLOOKUP($G16,Listini!$A$54:$V$57,20,FALSE),0))*(1+IF($D16="Si",(Listini!$V$46-100)/100,0)+IF($E16="Si",(Listini!$V$47-100)/100,0)+IF($F16="Si",(Listini!$V$48-100)/100,0))+$H16*Listini!$T$49+'Riepilogo Fabbisogni'!I16*Listini!$T$50+'Riepilogo Fabbisogni'!J16*Listini!$T$51+'Riepilogo Fabbisogni'!K16*Listini!$T$52+$L16*Listini!$T$53,0)</f>
        <v>0</v>
      </c>
      <c r="W16" s="244">
        <f>IF($B16&lt;&gt;0,VLOOKUP($B16,'Listino Offerta'!$A$2:$F$44,3,FALSE)*(1+IF($D16="Si",('Listino Offerta'!$E$46-100)/100,0)+IF($F16="Si",('Listino Offerta'!$E$48-100)/100,0)),0)</f>
        <v>0</v>
      </c>
      <c r="X16" s="244">
        <f>IF($B16&lt;&gt;0,(VLOOKUP($B16,'Listino Offerta'!$A$2:$F$44,4,FALSE)+IF($C16="Si",'Listino Offerta'!$D$45,0)+IF($G16&lt;&gt;0,VLOOKUP($G16,'Listino Offerta'!$A$54:$F$57,4,FALSE),0))*(1+IF($D16="Si",('Listino Offerta'!$F$46-100)/100,0)+IF($E16="Si",('Listino Offerta'!$F$47-100)/100,0)+IF($F16="Si",('Listino Offerta'!$F$48-100)/100,0))+$H16*'Listino Offerta'!$D$49+'Riepilogo Fabbisogni'!I16*'Listino Offerta'!$D$50+'Riepilogo Fabbisogni'!J16*'Listino Offerta'!$D$51+'Riepilogo Fabbisogni'!K16*'Listino Offerta'!$D$52+$L16*'Listino Offerta'!$D$53,0)</f>
        <v>0</v>
      </c>
    </row>
    <row r="17" spans="1:24" s="244" customFormat="1" ht="12.75" customHeight="1">
      <c r="A17" s="241">
        <v>15</v>
      </c>
      <c r="B17" s="242">
        <f>'Servizi di Trasporto Dati'!D19</f>
        <v>0</v>
      </c>
      <c r="C17" s="242">
        <f>'Servizi di Trasporto Dati'!E19</f>
        <v>0</v>
      </c>
      <c r="D17" s="242" t="str">
        <f>IF(AND('Servizi di Trasporto Dati'!F19="Si",'Servizi di Trasporto Dati'!G19&lt;&gt;"Si"),"Si","")</f>
        <v/>
      </c>
      <c r="E17" s="242" t="str">
        <f>IF(AND('Servizi di Trasporto Dati'!F19&lt;&gt;"Si",'Servizi di Trasporto Dati'!G19="Si"),"Si","")</f>
        <v/>
      </c>
      <c r="F17" s="242" t="str">
        <f>IF(AND('Servizi di Trasporto Dati'!F19="Si",'Servizi di Trasporto Dati'!G19="Si"),"Si","")</f>
        <v/>
      </c>
      <c r="G17" s="242">
        <f>'Servizi di Trasporto Dati'!H19</f>
        <v>0</v>
      </c>
      <c r="H17" s="242">
        <f>'Servizi di Trasporto Dati'!I19</f>
        <v>0</v>
      </c>
      <c r="I17" s="242">
        <f>'Servizi di Trasporto Dati'!J19</f>
        <v>0</v>
      </c>
      <c r="J17" s="242">
        <f>'Servizi di Trasporto Dati'!K19</f>
        <v>0</v>
      </c>
      <c r="K17" s="242">
        <f>'Servizi di Trasporto Dati'!L19</f>
        <v>0</v>
      </c>
      <c r="L17" s="243">
        <f>'Servizi di Trasporto Dati'!M19</f>
        <v>0</v>
      </c>
      <c r="M17" s="50">
        <f>IF($B17&lt;&gt;0,VLOOKUP($B17,Listini!$A$3:$V$44,3,FALSE)*(1+IF($D17="Si",(Listini!$E$46-100)/100,0)+IF($F17="Si",(Listini!$E$48-100)/100,0)),0)</f>
        <v>0</v>
      </c>
      <c r="N17" s="50">
        <f>IF($B17&lt;&gt;0,(VLOOKUP($B17,Listini!$A$2:$V$44,4,FALSE)+IF($C17="Si",Listini!$D$45,0)+IF($G17&lt;&gt;0,VLOOKUP($G17,Listini!$A$54:$V$57,4,FALSE),0))*(1+IF($D17="Si",(Listini!$F$46-100)/100,0)+IF($E17="Si",(Listini!$F$47-100)/100,0)+IF($F17="Si",(Listini!$F$48-100)/100,0))+$H17*Listini!$D$49+'Riepilogo Fabbisogni'!I17*Listini!$D$50+'Riepilogo Fabbisogni'!J17*Listini!$D$51+'Riepilogo Fabbisogni'!K17*Listini!$D$52+$L17*Listini!$D$53,0)</f>
        <v>0</v>
      </c>
      <c r="O17" s="50">
        <f>IF($B17&lt;&gt;0,VLOOKUP($B17,Listini!$A$3:$V$44,7,FALSE)*(1+IF($D17="Si",(Listini!$I$46-100)/100,0)+IF($F17="Si",(Listini!$I$48-100)/100,0)),0)</f>
        <v>0</v>
      </c>
      <c r="P17" s="50">
        <f>IF($B17&lt;&gt;0,(VLOOKUP($B17,Listini!$A$2:$V$44,8,FALSE)+IF($C17="Si",Listini!$H$45,0)+IF($G17&lt;&gt;0,VLOOKUP($G17,Listini!$A$54:$V$57,8,FALSE),0))*(1+IF($D17="Si",(Listini!$J$46-100)/100,0)+IF($E17="Si",(Listini!$J$47-100)/100,0)+IF($F17="Si",(Listini!$J$48-100)/100,0))+$H17*Listini!$H$49+'Riepilogo Fabbisogni'!I17*Listini!$H$50+'Riepilogo Fabbisogni'!J17*Listini!$H$51+'Riepilogo Fabbisogni'!K17*Listini!$H$52+$L17*Listini!$H$53,0)</f>
        <v>0</v>
      </c>
      <c r="Q17" s="50">
        <f>IF($B17&lt;&gt;0,VLOOKUP($B17,Listini!$A$3:$V$44,11,FALSE)*(1+IF($D17="Si",(Listini!$M$46-100)/100,0)+IF($F17="Si",(Listini!$M$48-100)/100,0)),0)</f>
        <v>0</v>
      </c>
      <c r="R17" s="50">
        <f>IF($B17&lt;&gt;0,(VLOOKUP($B17,Listini!$A$2:$V$44,12,FALSE)+IF($C17="Si",Listini!$L$45,0)+IF($G17&lt;&gt;0,VLOOKUP($G17,Listini!$A$54:$V$57,12,FALSE),0))*(1+IF($D17="Si",(Listini!$N$46-100)/100,0)+IF($E17="Si",(Listini!$N$47-100)/100,0)+IF($F17="Si",(Listini!$N$48-100)/100,0))+$H17*Listini!$L$49+'Riepilogo Fabbisogni'!I17*Listini!$L$50+'Riepilogo Fabbisogni'!J17*Listini!$L$51+'Riepilogo Fabbisogni'!K17*Listini!$L$52+$L17*Listini!$L$53,0)</f>
        <v>0</v>
      </c>
      <c r="S17" s="244">
        <f>IF($B17&lt;&gt;0,VLOOKUP($B17,Listini!$A$3:$V$44,15,FALSE)*(1+IF($D17="Si",(Listini!$Q$46-100)/100,0)+IF($F17="Si",(Listini!$Q$48-100)/100,0)),0)</f>
        <v>0</v>
      </c>
      <c r="T17" s="244">
        <f>IF($B17&lt;&gt;0,(VLOOKUP($B17,Listini!$A$2:$V$44,16,FALSE)+IF($C17="Si",Listini!$P$45,0)+IF($G17&lt;&gt;0,VLOOKUP($G17,Listini!$A$54:$V$57,16,FALSE),0))*(1+IF($D17="Si",(Listini!$R$46-100)/100,0)+IF($E17="Si",(Listini!$R$47-100)/100,0)+IF($F17="Si",(Listini!$R$48-100)/100,0))+$H17*Listini!$P$49+'Riepilogo Fabbisogni'!I17*Listini!$P$50+'Riepilogo Fabbisogni'!J17*Listini!$P$51+'Riepilogo Fabbisogni'!K17*Listini!$P$52+$L17*Listini!$P$53,0)</f>
        <v>0</v>
      </c>
      <c r="U17" s="244">
        <f>IF($B17&lt;&gt;0,VLOOKUP($B17,Listini!$A$3:$V$44,19,FALSE)*(1+IF($D17="Si",(Listini!$U$46-100)/100,0)+IF($F17="Si",(Listini!$U$48-100)/100,0)),0)</f>
        <v>0</v>
      </c>
      <c r="V17" s="244">
        <f>IF($B17&lt;&gt;0,(VLOOKUP($B17,Listini!$A$2:$V$44,20,FALSE)+IF($C17="Si",Listini!$T$45,0)+IF($G17&lt;&gt;0,VLOOKUP($G17,Listini!$A$54:$V$57,20,FALSE),0))*(1+IF($D17="Si",(Listini!$V$46-100)/100,0)+IF($E17="Si",(Listini!$V$47-100)/100,0)+IF($F17="Si",(Listini!$V$48-100)/100,0))+$H17*Listini!$T$49+'Riepilogo Fabbisogni'!I17*Listini!$T$50+'Riepilogo Fabbisogni'!J17*Listini!$T$51+'Riepilogo Fabbisogni'!K17*Listini!$T$52+$L17*Listini!$T$53,0)</f>
        <v>0</v>
      </c>
      <c r="W17" s="244">
        <f>IF($B17&lt;&gt;0,VLOOKUP($B17,'Listino Offerta'!$A$2:$F$44,3,FALSE)*(1+IF($D17="Si",('Listino Offerta'!$E$46-100)/100,0)+IF($F17="Si",('Listino Offerta'!$E$48-100)/100,0)),0)</f>
        <v>0</v>
      </c>
      <c r="X17" s="244">
        <f>IF($B17&lt;&gt;0,(VLOOKUP($B17,'Listino Offerta'!$A$2:$F$44,4,FALSE)+IF($C17="Si",'Listino Offerta'!$D$45,0)+IF($G17&lt;&gt;0,VLOOKUP($G17,'Listino Offerta'!$A$54:$F$57,4,FALSE),0))*(1+IF($D17="Si",('Listino Offerta'!$F$46-100)/100,0)+IF($E17="Si",('Listino Offerta'!$F$47-100)/100,0)+IF($F17="Si",('Listino Offerta'!$F$48-100)/100,0))+$H17*'Listino Offerta'!$D$49+'Riepilogo Fabbisogni'!I17*'Listino Offerta'!$D$50+'Riepilogo Fabbisogni'!J17*'Listino Offerta'!$D$51+'Riepilogo Fabbisogni'!K17*'Listino Offerta'!$D$52+$L17*'Listino Offerta'!$D$53,0)</f>
        <v>0</v>
      </c>
    </row>
    <row r="18" spans="1:24" s="244" customFormat="1" ht="12.75" customHeight="1">
      <c r="A18" s="241">
        <v>16</v>
      </c>
      <c r="B18" s="242">
        <f>'Servizi di Trasporto Dati'!D20</f>
        <v>0</v>
      </c>
      <c r="C18" s="242">
        <f>'Servizi di Trasporto Dati'!E20</f>
        <v>0</v>
      </c>
      <c r="D18" s="242" t="str">
        <f>IF(AND('Servizi di Trasporto Dati'!F20="Si",'Servizi di Trasporto Dati'!G20&lt;&gt;"Si"),"Si","")</f>
        <v/>
      </c>
      <c r="E18" s="242" t="str">
        <f>IF(AND('Servizi di Trasporto Dati'!F20&lt;&gt;"Si",'Servizi di Trasporto Dati'!G20="Si"),"Si","")</f>
        <v/>
      </c>
      <c r="F18" s="242" t="str">
        <f>IF(AND('Servizi di Trasporto Dati'!F20="Si",'Servizi di Trasporto Dati'!G20="Si"),"Si","")</f>
        <v/>
      </c>
      <c r="G18" s="242">
        <f>'Servizi di Trasporto Dati'!H20</f>
        <v>0</v>
      </c>
      <c r="H18" s="242">
        <f>'Servizi di Trasporto Dati'!I20</f>
        <v>0</v>
      </c>
      <c r="I18" s="242">
        <f>'Servizi di Trasporto Dati'!J20</f>
        <v>0</v>
      </c>
      <c r="J18" s="242">
        <f>'Servizi di Trasporto Dati'!K20</f>
        <v>0</v>
      </c>
      <c r="K18" s="242">
        <f>'Servizi di Trasporto Dati'!L20</f>
        <v>0</v>
      </c>
      <c r="L18" s="243">
        <f>'Servizi di Trasporto Dati'!M20</f>
        <v>0</v>
      </c>
      <c r="M18" s="50">
        <f>IF($B18&lt;&gt;0,VLOOKUP($B18,Listini!$A$3:$V$44,3,FALSE)*(1+IF($D18="Si",(Listini!$E$46-100)/100,0)+IF($F18="Si",(Listini!$E$48-100)/100,0)),0)</f>
        <v>0</v>
      </c>
      <c r="N18" s="50">
        <f>IF($B18&lt;&gt;0,(VLOOKUP($B18,Listini!$A$2:$V$44,4,FALSE)+IF($C18="Si",Listini!$D$45,0)+IF($G18&lt;&gt;0,VLOOKUP($G18,Listini!$A$54:$V$57,4,FALSE),0))*(1+IF($D18="Si",(Listini!$F$46-100)/100,0)+IF($E18="Si",(Listini!$F$47-100)/100,0)+IF($F18="Si",(Listini!$F$48-100)/100,0))+$H18*Listini!$D$49+'Riepilogo Fabbisogni'!I18*Listini!$D$50+'Riepilogo Fabbisogni'!J18*Listini!$D$51+'Riepilogo Fabbisogni'!K18*Listini!$D$52+$L18*Listini!$D$53,0)</f>
        <v>0</v>
      </c>
      <c r="O18" s="50">
        <f>IF($B18&lt;&gt;0,VLOOKUP($B18,Listini!$A$3:$V$44,7,FALSE)*(1+IF($D18="Si",(Listini!$I$46-100)/100,0)+IF($F18="Si",(Listini!$I$48-100)/100,0)),0)</f>
        <v>0</v>
      </c>
      <c r="P18" s="50">
        <f>IF($B18&lt;&gt;0,(VLOOKUP($B18,Listini!$A$2:$V$44,8,FALSE)+IF($C18="Si",Listini!$H$45,0)+IF($G18&lt;&gt;0,VLOOKUP($G18,Listini!$A$54:$V$57,8,FALSE),0))*(1+IF($D18="Si",(Listini!$J$46-100)/100,0)+IF($E18="Si",(Listini!$J$47-100)/100,0)+IF($F18="Si",(Listini!$J$48-100)/100,0))+$H18*Listini!$H$49+'Riepilogo Fabbisogni'!I18*Listini!$H$50+'Riepilogo Fabbisogni'!J18*Listini!$H$51+'Riepilogo Fabbisogni'!K18*Listini!$H$52+$L18*Listini!$H$53,0)</f>
        <v>0</v>
      </c>
      <c r="Q18" s="50">
        <f>IF($B18&lt;&gt;0,VLOOKUP($B18,Listini!$A$3:$V$44,11,FALSE)*(1+IF($D18="Si",(Listini!$M$46-100)/100,0)+IF($F18="Si",(Listini!$M$48-100)/100,0)),0)</f>
        <v>0</v>
      </c>
      <c r="R18" s="50">
        <f>IF($B18&lt;&gt;0,(VLOOKUP($B18,Listini!$A$2:$V$44,12,FALSE)+IF($C18="Si",Listini!$L$45,0)+IF($G18&lt;&gt;0,VLOOKUP($G18,Listini!$A$54:$V$57,12,FALSE),0))*(1+IF($D18="Si",(Listini!$N$46-100)/100,0)+IF($E18="Si",(Listini!$N$47-100)/100,0)+IF($F18="Si",(Listini!$N$48-100)/100,0))+$H18*Listini!$L$49+'Riepilogo Fabbisogni'!I18*Listini!$L$50+'Riepilogo Fabbisogni'!J18*Listini!$L$51+'Riepilogo Fabbisogni'!K18*Listini!$L$52+$L18*Listini!$L$53,0)</f>
        <v>0</v>
      </c>
      <c r="S18" s="244">
        <f>IF($B18&lt;&gt;0,VLOOKUP($B18,Listini!$A$3:$V$44,15,FALSE)*(1+IF($D18="Si",(Listini!$Q$46-100)/100,0)+IF($F18="Si",(Listini!$Q$48-100)/100,0)),0)</f>
        <v>0</v>
      </c>
      <c r="T18" s="244">
        <f>IF($B18&lt;&gt;0,(VLOOKUP($B18,Listini!$A$2:$V$44,16,FALSE)+IF($C18="Si",Listini!$P$45,0)+IF($G18&lt;&gt;0,VLOOKUP($G18,Listini!$A$54:$V$57,16,FALSE),0))*(1+IF($D18="Si",(Listini!$R$46-100)/100,0)+IF($E18="Si",(Listini!$R$47-100)/100,0)+IF($F18="Si",(Listini!$R$48-100)/100,0))+$H18*Listini!$P$49+'Riepilogo Fabbisogni'!I18*Listini!$P$50+'Riepilogo Fabbisogni'!J18*Listini!$P$51+'Riepilogo Fabbisogni'!K18*Listini!$P$52+$L18*Listini!$P$53,0)</f>
        <v>0</v>
      </c>
      <c r="U18" s="244">
        <f>IF($B18&lt;&gt;0,VLOOKUP($B18,Listini!$A$3:$V$44,19,FALSE)*(1+IF($D18="Si",(Listini!$U$46-100)/100,0)+IF($F18="Si",(Listini!$U$48-100)/100,0)),0)</f>
        <v>0</v>
      </c>
      <c r="V18" s="244">
        <f>IF($B18&lt;&gt;0,(VLOOKUP($B18,Listini!$A$2:$V$44,20,FALSE)+IF($C18="Si",Listini!$T$45,0)+IF($G18&lt;&gt;0,VLOOKUP($G18,Listini!$A$54:$V$57,20,FALSE),0))*(1+IF($D18="Si",(Listini!$V$46-100)/100,0)+IF($E18="Si",(Listini!$V$47-100)/100,0)+IF($F18="Si",(Listini!$V$48-100)/100,0))+$H18*Listini!$T$49+'Riepilogo Fabbisogni'!I18*Listini!$T$50+'Riepilogo Fabbisogni'!J18*Listini!$T$51+'Riepilogo Fabbisogni'!K18*Listini!$T$52+$L18*Listini!$T$53,0)</f>
        <v>0</v>
      </c>
      <c r="W18" s="244">
        <f>IF($B18&lt;&gt;0,VLOOKUP($B18,'Listino Offerta'!$A$2:$F$44,3,FALSE)*(1+IF($D18="Si",('Listino Offerta'!$E$46-100)/100,0)+IF($F18="Si",('Listino Offerta'!$E$48-100)/100,0)),0)</f>
        <v>0</v>
      </c>
      <c r="X18" s="244">
        <f>IF($B18&lt;&gt;0,(VLOOKUP($B18,'Listino Offerta'!$A$2:$F$44,4,FALSE)+IF($C18="Si",'Listino Offerta'!$D$45,0)+IF($G18&lt;&gt;0,VLOOKUP($G18,'Listino Offerta'!$A$54:$F$57,4,FALSE),0))*(1+IF($D18="Si",('Listino Offerta'!$F$46-100)/100,0)+IF($E18="Si",('Listino Offerta'!$F$47-100)/100,0)+IF($F18="Si",('Listino Offerta'!$F$48-100)/100,0))+$H18*'Listino Offerta'!$D$49+'Riepilogo Fabbisogni'!I18*'Listino Offerta'!$D$50+'Riepilogo Fabbisogni'!J18*'Listino Offerta'!$D$51+'Riepilogo Fabbisogni'!K18*'Listino Offerta'!$D$52+$L18*'Listino Offerta'!$D$53,0)</f>
        <v>0</v>
      </c>
    </row>
    <row r="19" spans="1:24" s="244" customFormat="1" ht="12.75" customHeight="1">
      <c r="A19" s="241">
        <v>17</v>
      </c>
      <c r="B19" s="242">
        <f>'Servizi di Trasporto Dati'!D21</f>
        <v>0</v>
      </c>
      <c r="C19" s="242">
        <f>'Servizi di Trasporto Dati'!E21</f>
        <v>0</v>
      </c>
      <c r="D19" s="242" t="str">
        <f>IF(AND('Servizi di Trasporto Dati'!F21="Si",'Servizi di Trasporto Dati'!G21&lt;&gt;"Si"),"Si","")</f>
        <v/>
      </c>
      <c r="E19" s="242" t="str">
        <f>IF(AND('Servizi di Trasporto Dati'!F21&lt;&gt;"Si",'Servizi di Trasporto Dati'!G21="Si"),"Si","")</f>
        <v/>
      </c>
      <c r="F19" s="242" t="str">
        <f>IF(AND('Servizi di Trasporto Dati'!F21="Si",'Servizi di Trasporto Dati'!G21="Si"),"Si","")</f>
        <v/>
      </c>
      <c r="G19" s="242">
        <f>'Servizi di Trasporto Dati'!H21</f>
        <v>0</v>
      </c>
      <c r="H19" s="242">
        <f>'Servizi di Trasporto Dati'!I21</f>
        <v>0</v>
      </c>
      <c r="I19" s="242">
        <f>'Servizi di Trasporto Dati'!J21</f>
        <v>0</v>
      </c>
      <c r="J19" s="242">
        <f>'Servizi di Trasporto Dati'!K21</f>
        <v>0</v>
      </c>
      <c r="K19" s="242">
        <f>'Servizi di Trasporto Dati'!L21</f>
        <v>0</v>
      </c>
      <c r="L19" s="243">
        <f>'Servizi di Trasporto Dati'!M21</f>
        <v>0</v>
      </c>
      <c r="M19" s="50">
        <f>IF($B19&lt;&gt;0,VLOOKUP($B19,Listini!$A$3:$V$44,3,FALSE)*(1+IF($D19="Si",(Listini!$E$46-100)/100,0)+IF($F19="Si",(Listini!$E$48-100)/100,0)),0)</f>
        <v>0</v>
      </c>
      <c r="N19" s="50">
        <f>IF($B19&lt;&gt;0,(VLOOKUP($B19,Listini!$A$2:$V$44,4,FALSE)+IF($C19="Si",Listini!$D$45,0)+IF($G19&lt;&gt;0,VLOOKUP($G19,Listini!$A$54:$V$57,4,FALSE),0))*(1+IF($D19="Si",(Listini!$F$46-100)/100,0)+IF($E19="Si",(Listini!$F$47-100)/100,0)+IF($F19="Si",(Listini!$F$48-100)/100,0))+$H19*Listini!$D$49+'Riepilogo Fabbisogni'!I19*Listini!$D$50+'Riepilogo Fabbisogni'!J19*Listini!$D$51+'Riepilogo Fabbisogni'!K19*Listini!$D$52+$L19*Listini!$D$53,0)</f>
        <v>0</v>
      </c>
      <c r="O19" s="50">
        <f>IF($B19&lt;&gt;0,VLOOKUP($B19,Listini!$A$3:$V$44,7,FALSE)*(1+IF($D19="Si",(Listini!$I$46-100)/100,0)+IF($F19="Si",(Listini!$I$48-100)/100,0)),0)</f>
        <v>0</v>
      </c>
      <c r="P19" s="50">
        <f>IF($B19&lt;&gt;0,(VLOOKUP($B19,Listini!$A$2:$V$44,8,FALSE)+IF($C19="Si",Listini!$H$45,0)+IF($G19&lt;&gt;0,VLOOKUP($G19,Listini!$A$54:$V$57,8,FALSE),0))*(1+IF($D19="Si",(Listini!$J$46-100)/100,0)+IF($E19="Si",(Listini!$J$47-100)/100,0)+IF($F19="Si",(Listini!$J$48-100)/100,0))+$H19*Listini!$H$49+'Riepilogo Fabbisogni'!I19*Listini!$H$50+'Riepilogo Fabbisogni'!J19*Listini!$H$51+'Riepilogo Fabbisogni'!K19*Listini!$H$52+$L19*Listini!$H$53,0)</f>
        <v>0</v>
      </c>
      <c r="Q19" s="50">
        <f>IF($B19&lt;&gt;0,VLOOKUP($B19,Listini!$A$3:$V$44,11,FALSE)*(1+IF($D19="Si",(Listini!$M$46-100)/100,0)+IF($F19="Si",(Listini!$M$48-100)/100,0)),0)</f>
        <v>0</v>
      </c>
      <c r="R19" s="50">
        <f>IF($B19&lt;&gt;0,(VLOOKUP($B19,Listini!$A$2:$V$44,12,FALSE)+IF($C19="Si",Listini!$L$45,0)+IF($G19&lt;&gt;0,VLOOKUP($G19,Listini!$A$54:$V$57,12,FALSE),0))*(1+IF($D19="Si",(Listini!$N$46-100)/100,0)+IF($E19="Si",(Listini!$N$47-100)/100,0)+IF($F19="Si",(Listini!$N$48-100)/100,0))+$H19*Listini!$L$49+'Riepilogo Fabbisogni'!I19*Listini!$L$50+'Riepilogo Fabbisogni'!J19*Listini!$L$51+'Riepilogo Fabbisogni'!K19*Listini!$L$52+$L19*Listini!$L$53,0)</f>
        <v>0</v>
      </c>
      <c r="S19" s="244">
        <f>IF($B19&lt;&gt;0,VLOOKUP($B19,Listini!$A$3:$V$44,15,FALSE)*(1+IF($D19="Si",(Listini!$Q$46-100)/100,0)+IF($F19="Si",(Listini!$Q$48-100)/100,0)),0)</f>
        <v>0</v>
      </c>
      <c r="T19" s="244">
        <f>IF($B19&lt;&gt;0,(VLOOKUP($B19,Listini!$A$2:$V$44,16,FALSE)+IF($C19="Si",Listini!$P$45,0)+IF($G19&lt;&gt;0,VLOOKUP($G19,Listini!$A$54:$V$57,16,FALSE),0))*(1+IF($D19="Si",(Listini!$R$46-100)/100,0)+IF($E19="Si",(Listini!$R$47-100)/100,0)+IF($F19="Si",(Listini!$R$48-100)/100,0))+$H19*Listini!$P$49+'Riepilogo Fabbisogni'!I19*Listini!$P$50+'Riepilogo Fabbisogni'!J19*Listini!$P$51+'Riepilogo Fabbisogni'!K19*Listini!$P$52+$L19*Listini!$P$53,0)</f>
        <v>0</v>
      </c>
      <c r="U19" s="244">
        <f>IF($B19&lt;&gt;0,VLOOKUP($B19,Listini!$A$3:$V$44,19,FALSE)*(1+IF($D19="Si",(Listini!$U$46-100)/100,0)+IF($F19="Si",(Listini!$U$48-100)/100,0)),0)</f>
        <v>0</v>
      </c>
      <c r="V19" s="244">
        <f>IF($B19&lt;&gt;0,(VLOOKUP($B19,Listini!$A$2:$V$44,20,FALSE)+IF($C19="Si",Listini!$T$45,0)+IF($G19&lt;&gt;0,VLOOKUP($G19,Listini!$A$54:$V$57,20,FALSE),0))*(1+IF($D19="Si",(Listini!$V$46-100)/100,0)+IF($E19="Si",(Listini!$V$47-100)/100,0)+IF($F19="Si",(Listini!$V$48-100)/100,0))+$H19*Listini!$T$49+'Riepilogo Fabbisogni'!I19*Listini!$T$50+'Riepilogo Fabbisogni'!J19*Listini!$T$51+'Riepilogo Fabbisogni'!K19*Listini!$T$52+$L19*Listini!$T$53,0)</f>
        <v>0</v>
      </c>
      <c r="W19" s="244">
        <f>IF($B19&lt;&gt;0,VLOOKUP($B19,'Listino Offerta'!$A$2:$F$44,3,FALSE)*(1+IF($D19="Si",('Listino Offerta'!$E$46-100)/100,0)+IF($F19="Si",('Listino Offerta'!$E$48-100)/100,0)),0)</f>
        <v>0</v>
      </c>
      <c r="X19" s="244">
        <f>IF($B19&lt;&gt;0,(VLOOKUP($B19,'Listino Offerta'!$A$2:$F$44,4,FALSE)+IF($C19="Si",'Listino Offerta'!$D$45,0)+IF($G19&lt;&gt;0,VLOOKUP($G19,'Listino Offerta'!$A$54:$F$57,4,FALSE),0))*(1+IF($D19="Si",('Listino Offerta'!$F$46-100)/100,0)+IF($E19="Si",('Listino Offerta'!$F$47-100)/100,0)+IF($F19="Si",('Listino Offerta'!$F$48-100)/100,0))+$H19*'Listino Offerta'!$D$49+'Riepilogo Fabbisogni'!I19*'Listino Offerta'!$D$50+'Riepilogo Fabbisogni'!J19*'Listino Offerta'!$D$51+'Riepilogo Fabbisogni'!K19*'Listino Offerta'!$D$52+$L19*'Listino Offerta'!$D$53,0)</f>
        <v>0</v>
      </c>
    </row>
    <row r="20" spans="1:24" s="244" customFormat="1" ht="12.75" customHeight="1">
      <c r="A20" s="241">
        <v>18</v>
      </c>
      <c r="B20" s="242">
        <f>'Servizi di Trasporto Dati'!D22</f>
        <v>0</v>
      </c>
      <c r="C20" s="242">
        <f>'Servizi di Trasporto Dati'!E22</f>
        <v>0</v>
      </c>
      <c r="D20" s="242" t="str">
        <f>IF(AND('Servizi di Trasporto Dati'!F22="Si",'Servizi di Trasporto Dati'!G22&lt;&gt;"Si"),"Si","")</f>
        <v/>
      </c>
      <c r="E20" s="242" t="str">
        <f>IF(AND('Servizi di Trasporto Dati'!F22&lt;&gt;"Si",'Servizi di Trasporto Dati'!G22="Si"),"Si","")</f>
        <v/>
      </c>
      <c r="F20" s="242" t="str">
        <f>IF(AND('Servizi di Trasporto Dati'!F22="Si",'Servizi di Trasporto Dati'!G22="Si"),"Si","")</f>
        <v/>
      </c>
      <c r="G20" s="242">
        <f>'Servizi di Trasporto Dati'!H22</f>
        <v>0</v>
      </c>
      <c r="H20" s="242">
        <f>'Servizi di Trasporto Dati'!I22</f>
        <v>0</v>
      </c>
      <c r="I20" s="242">
        <f>'Servizi di Trasporto Dati'!J22</f>
        <v>0</v>
      </c>
      <c r="J20" s="242">
        <f>'Servizi di Trasporto Dati'!K22</f>
        <v>0</v>
      </c>
      <c r="K20" s="242">
        <f>'Servizi di Trasporto Dati'!L22</f>
        <v>0</v>
      </c>
      <c r="L20" s="243">
        <f>'Servizi di Trasporto Dati'!M22</f>
        <v>0</v>
      </c>
      <c r="M20" s="50">
        <f>IF($B20&lt;&gt;0,VLOOKUP($B20,Listini!$A$3:$V$44,3,FALSE)*(1+IF($D20="Si",(Listini!$E$46-100)/100,0)+IF($F20="Si",(Listini!$E$48-100)/100,0)),0)</f>
        <v>0</v>
      </c>
      <c r="N20" s="50">
        <f>IF($B20&lt;&gt;0,(VLOOKUP($B20,Listini!$A$2:$V$44,4,FALSE)+IF($C20="Si",Listini!$D$45,0)+IF($G20&lt;&gt;0,VLOOKUP($G20,Listini!$A$54:$V$57,4,FALSE),0))*(1+IF($D20="Si",(Listini!$F$46-100)/100,0)+IF($E20="Si",(Listini!$F$47-100)/100,0)+IF($F20="Si",(Listini!$F$48-100)/100,0))+$H20*Listini!$D$49+'Riepilogo Fabbisogni'!I20*Listini!$D$50+'Riepilogo Fabbisogni'!J20*Listini!$D$51+'Riepilogo Fabbisogni'!K20*Listini!$D$52+$L20*Listini!$D$53,0)</f>
        <v>0</v>
      </c>
      <c r="O20" s="50">
        <f>IF($B20&lt;&gt;0,VLOOKUP($B20,Listini!$A$3:$V$44,7,FALSE)*(1+IF($D20="Si",(Listini!$I$46-100)/100,0)+IF($F20="Si",(Listini!$I$48-100)/100,0)),0)</f>
        <v>0</v>
      </c>
      <c r="P20" s="50">
        <f>IF($B20&lt;&gt;0,(VLOOKUP($B20,Listini!$A$2:$V$44,8,FALSE)+IF($C20="Si",Listini!$H$45,0)+IF($G20&lt;&gt;0,VLOOKUP($G20,Listini!$A$54:$V$57,8,FALSE),0))*(1+IF($D20="Si",(Listini!$J$46-100)/100,0)+IF($E20="Si",(Listini!$J$47-100)/100,0)+IF($F20="Si",(Listini!$J$48-100)/100,0))+$H20*Listini!$H$49+'Riepilogo Fabbisogni'!I20*Listini!$H$50+'Riepilogo Fabbisogni'!J20*Listini!$H$51+'Riepilogo Fabbisogni'!K20*Listini!$H$52+$L20*Listini!$H$53,0)</f>
        <v>0</v>
      </c>
      <c r="Q20" s="50">
        <f>IF($B20&lt;&gt;0,VLOOKUP($B20,Listini!$A$3:$V$44,11,FALSE)*(1+IF($D20="Si",(Listini!$M$46-100)/100,0)+IF($F20="Si",(Listini!$M$48-100)/100,0)),0)</f>
        <v>0</v>
      </c>
      <c r="R20" s="50">
        <f>IF($B20&lt;&gt;0,(VLOOKUP($B20,Listini!$A$2:$V$44,12,FALSE)+IF($C20="Si",Listini!$L$45,0)+IF($G20&lt;&gt;0,VLOOKUP($G20,Listini!$A$54:$V$57,12,FALSE),0))*(1+IF($D20="Si",(Listini!$N$46-100)/100,0)+IF($E20="Si",(Listini!$N$47-100)/100,0)+IF($F20="Si",(Listini!$N$48-100)/100,0))+$H20*Listini!$L$49+'Riepilogo Fabbisogni'!I20*Listini!$L$50+'Riepilogo Fabbisogni'!J20*Listini!$L$51+'Riepilogo Fabbisogni'!K20*Listini!$L$52+$L20*Listini!$L$53,0)</f>
        <v>0</v>
      </c>
      <c r="S20" s="244">
        <f>IF($B20&lt;&gt;0,VLOOKUP($B20,Listini!$A$3:$V$44,15,FALSE)*(1+IF($D20="Si",(Listini!$Q$46-100)/100,0)+IF($F20="Si",(Listini!$Q$48-100)/100,0)),0)</f>
        <v>0</v>
      </c>
      <c r="T20" s="244">
        <f>IF($B20&lt;&gt;0,(VLOOKUP($B20,Listini!$A$2:$V$44,16,FALSE)+IF($C20="Si",Listini!$P$45,0)+IF($G20&lt;&gt;0,VLOOKUP($G20,Listini!$A$54:$V$57,16,FALSE),0))*(1+IF($D20="Si",(Listini!$R$46-100)/100,0)+IF($E20="Si",(Listini!$R$47-100)/100,0)+IF($F20="Si",(Listini!$R$48-100)/100,0))+$H20*Listini!$P$49+'Riepilogo Fabbisogni'!I20*Listini!$P$50+'Riepilogo Fabbisogni'!J20*Listini!$P$51+'Riepilogo Fabbisogni'!K20*Listini!$P$52+$L20*Listini!$P$53,0)</f>
        <v>0</v>
      </c>
      <c r="U20" s="244">
        <f>IF($B20&lt;&gt;0,VLOOKUP($B20,Listini!$A$3:$V$44,19,FALSE)*(1+IF($D20="Si",(Listini!$U$46-100)/100,0)+IF($F20="Si",(Listini!$U$48-100)/100,0)),0)</f>
        <v>0</v>
      </c>
      <c r="V20" s="244">
        <f>IF($B20&lt;&gt;0,(VLOOKUP($B20,Listini!$A$2:$V$44,20,FALSE)+IF($C20="Si",Listini!$T$45,0)+IF($G20&lt;&gt;0,VLOOKUP($G20,Listini!$A$54:$V$57,20,FALSE),0))*(1+IF($D20="Si",(Listini!$V$46-100)/100,0)+IF($E20="Si",(Listini!$V$47-100)/100,0)+IF($F20="Si",(Listini!$V$48-100)/100,0))+$H20*Listini!$T$49+'Riepilogo Fabbisogni'!I20*Listini!$T$50+'Riepilogo Fabbisogni'!J20*Listini!$T$51+'Riepilogo Fabbisogni'!K20*Listini!$T$52+$L20*Listini!$T$53,0)</f>
        <v>0</v>
      </c>
      <c r="W20" s="244">
        <f>IF($B20&lt;&gt;0,VLOOKUP($B20,'Listino Offerta'!$A$2:$F$44,3,FALSE)*(1+IF($D20="Si",('Listino Offerta'!$E$46-100)/100,0)+IF($F20="Si",('Listino Offerta'!$E$48-100)/100,0)),0)</f>
        <v>0</v>
      </c>
      <c r="X20" s="244">
        <f>IF($B20&lt;&gt;0,(VLOOKUP($B20,'Listino Offerta'!$A$2:$F$44,4,FALSE)+IF($C20="Si",'Listino Offerta'!$D$45,0)+IF($G20&lt;&gt;0,VLOOKUP($G20,'Listino Offerta'!$A$54:$F$57,4,FALSE),0))*(1+IF($D20="Si",('Listino Offerta'!$F$46-100)/100,0)+IF($E20="Si",('Listino Offerta'!$F$47-100)/100,0)+IF($F20="Si",('Listino Offerta'!$F$48-100)/100,0))+$H20*'Listino Offerta'!$D$49+'Riepilogo Fabbisogni'!I20*'Listino Offerta'!$D$50+'Riepilogo Fabbisogni'!J20*'Listino Offerta'!$D$51+'Riepilogo Fabbisogni'!K20*'Listino Offerta'!$D$52+$L20*'Listino Offerta'!$D$53,0)</f>
        <v>0</v>
      </c>
    </row>
    <row r="21" spans="1:24" s="244" customFormat="1" ht="12.75" customHeight="1">
      <c r="A21" s="241">
        <v>19</v>
      </c>
      <c r="B21" s="242">
        <f>'Servizi di Trasporto Dati'!D23</f>
        <v>0</v>
      </c>
      <c r="C21" s="242">
        <f>'Servizi di Trasporto Dati'!E23</f>
        <v>0</v>
      </c>
      <c r="D21" s="242" t="str">
        <f>IF(AND('Servizi di Trasporto Dati'!F23="Si",'Servizi di Trasporto Dati'!G23&lt;&gt;"Si"),"Si","")</f>
        <v/>
      </c>
      <c r="E21" s="242" t="str">
        <f>IF(AND('Servizi di Trasporto Dati'!F23&lt;&gt;"Si",'Servizi di Trasporto Dati'!G23="Si"),"Si","")</f>
        <v/>
      </c>
      <c r="F21" s="242" t="str">
        <f>IF(AND('Servizi di Trasporto Dati'!F23="Si",'Servizi di Trasporto Dati'!G23="Si"),"Si","")</f>
        <v/>
      </c>
      <c r="G21" s="242">
        <f>'Servizi di Trasporto Dati'!H23</f>
        <v>0</v>
      </c>
      <c r="H21" s="242">
        <f>'Servizi di Trasporto Dati'!I23</f>
        <v>0</v>
      </c>
      <c r="I21" s="242">
        <f>'Servizi di Trasporto Dati'!J23</f>
        <v>0</v>
      </c>
      <c r="J21" s="242">
        <f>'Servizi di Trasporto Dati'!K23</f>
        <v>0</v>
      </c>
      <c r="K21" s="242">
        <f>'Servizi di Trasporto Dati'!L23</f>
        <v>0</v>
      </c>
      <c r="L21" s="243">
        <f>'Servizi di Trasporto Dati'!M23</f>
        <v>0</v>
      </c>
      <c r="M21" s="50">
        <f>IF($B21&lt;&gt;0,VLOOKUP($B21,Listini!$A$3:$V$44,3,FALSE)*(1+IF($D21="Si",(Listini!$E$46-100)/100,0)+IF($F21="Si",(Listini!$E$48-100)/100,0)),0)</f>
        <v>0</v>
      </c>
      <c r="N21" s="50">
        <f>IF($B21&lt;&gt;0,(VLOOKUP($B21,Listini!$A$2:$V$44,4,FALSE)+IF($C21="Si",Listini!$D$45,0)+IF($G21&lt;&gt;0,VLOOKUP($G21,Listini!$A$54:$V$57,4,FALSE),0))*(1+IF($D21="Si",(Listini!$F$46-100)/100,0)+IF($E21="Si",(Listini!$F$47-100)/100,0)+IF($F21="Si",(Listini!$F$48-100)/100,0))+$H21*Listini!$D$49+'Riepilogo Fabbisogni'!I21*Listini!$D$50+'Riepilogo Fabbisogni'!J21*Listini!$D$51+'Riepilogo Fabbisogni'!K21*Listini!$D$52+$L21*Listini!$D$53,0)</f>
        <v>0</v>
      </c>
      <c r="O21" s="50">
        <f>IF($B21&lt;&gt;0,VLOOKUP($B21,Listini!$A$3:$V$44,7,FALSE)*(1+IF($D21="Si",(Listini!$I$46-100)/100,0)+IF($F21="Si",(Listini!$I$48-100)/100,0)),0)</f>
        <v>0</v>
      </c>
      <c r="P21" s="50">
        <f>IF($B21&lt;&gt;0,(VLOOKUP($B21,Listini!$A$2:$V$44,8,FALSE)+IF($C21="Si",Listini!$H$45,0)+IF($G21&lt;&gt;0,VLOOKUP($G21,Listini!$A$54:$V$57,8,FALSE),0))*(1+IF($D21="Si",(Listini!$J$46-100)/100,0)+IF($E21="Si",(Listini!$J$47-100)/100,0)+IF($F21="Si",(Listini!$J$48-100)/100,0))+$H21*Listini!$H$49+'Riepilogo Fabbisogni'!I21*Listini!$H$50+'Riepilogo Fabbisogni'!J21*Listini!$H$51+'Riepilogo Fabbisogni'!K21*Listini!$H$52+$L21*Listini!$H$53,0)</f>
        <v>0</v>
      </c>
      <c r="Q21" s="50">
        <f>IF($B21&lt;&gt;0,VLOOKUP($B21,Listini!$A$3:$V$44,11,FALSE)*(1+IF($D21="Si",(Listini!$M$46-100)/100,0)+IF($F21="Si",(Listini!$M$48-100)/100,0)),0)</f>
        <v>0</v>
      </c>
      <c r="R21" s="50">
        <f>IF($B21&lt;&gt;0,(VLOOKUP($B21,Listini!$A$2:$V$44,12,FALSE)+IF($C21="Si",Listini!$L$45,0)+IF($G21&lt;&gt;0,VLOOKUP($G21,Listini!$A$54:$V$57,12,FALSE),0))*(1+IF($D21="Si",(Listini!$N$46-100)/100,0)+IF($E21="Si",(Listini!$N$47-100)/100,0)+IF($F21="Si",(Listini!$N$48-100)/100,0))+$H21*Listini!$L$49+'Riepilogo Fabbisogni'!I21*Listini!$L$50+'Riepilogo Fabbisogni'!J21*Listini!$L$51+'Riepilogo Fabbisogni'!K21*Listini!$L$52+$L21*Listini!$L$53,0)</f>
        <v>0</v>
      </c>
      <c r="S21" s="244">
        <f>IF($B21&lt;&gt;0,VLOOKUP($B21,Listini!$A$3:$V$44,15,FALSE)*(1+IF($D21="Si",(Listini!$Q$46-100)/100,0)+IF($F21="Si",(Listini!$Q$48-100)/100,0)),0)</f>
        <v>0</v>
      </c>
      <c r="T21" s="244">
        <f>IF($B21&lt;&gt;0,(VLOOKUP($B21,Listini!$A$2:$V$44,16,FALSE)+IF($C21="Si",Listini!$P$45,0)+IF($G21&lt;&gt;0,VLOOKUP($G21,Listini!$A$54:$V$57,16,FALSE),0))*(1+IF($D21="Si",(Listini!$R$46-100)/100,0)+IF($E21="Si",(Listini!$R$47-100)/100,0)+IF($F21="Si",(Listini!$R$48-100)/100,0))+$H21*Listini!$P$49+'Riepilogo Fabbisogni'!I21*Listini!$P$50+'Riepilogo Fabbisogni'!J21*Listini!$P$51+'Riepilogo Fabbisogni'!K21*Listini!$P$52+$L21*Listini!$P$53,0)</f>
        <v>0</v>
      </c>
      <c r="U21" s="244">
        <f>IF($B21&lt;&gt;0,VLOOKUP($B21,Listini!$A$3:$V$44,19,FALSE)*(1+IF($D21="Si",(Listini!$U$46-100)/100,0)+IF($F21="Si",(Listini!$U$48-100)/100,0)),0)</f>
        <v>0</v>
      </c>
      <c r="V21" s="244">
        <f>IF($B21&lt;&gt;0,(VLOOKUP($B21,Listini!$A$2:$V$44,20,FALSE)+IF($C21="Si",Listini!$T$45,0)+IF($G21&lt;&gt;0,VLOOKUP($G21,Listini!$A$54:$V$57,20,FALSE),0))*(1+IF($D21="Si",(Listini!$V$46-100)/100,0)+IF($E21="Si",(Listini!$V$47-100)/100,0)+IF($F21="Si",(Listini!$V$48-100)/100,0))+$H21*Listini!$T$49+'Riepilogo Fabbisogni'!I21*Listini!$T$50+'Riepilogo Fabbisogni'!J21*Listini!$T$51+'Riepilogo Fabbisogni'!K21*Listini!$T$52+$L21*Listini!$T$53,0)</f>
        <v>0</v>
      </c>
      <c r="W21" s="244">
        <f>IF($B21&lt;&gt;0,VLOOKUP($B21,'Listino Offerta'!$A$2:$F$44,3,FALSE)*(1+IF($D21="Si",('Listino Offerta'!$E$46-100)/100,0)+IF($F21="Si",('Listino Offerta'!$E$48-100)/100,0)),0)</f>
        <v>0</v>
      </c>
      <c r="X21" s="244">
        <f>IF($B21&lt;&gt;0,(VLOOKUP($B21,'Listino Offerta'!$A$2:$F$44,4,FALSE)+IF($C21="Si",'Listino Offerta'!$D$45,0)+IF($G21&lt;&gt;0,VLOOKUP($G21,'Listino Offerta'!$A$54:$F$57,4,FALSE),0))*(1+IF($D21="Si",('Listino Offerta'!$F$46-100)/100,0)+IF($E21="Si",('Listino Offerta'!$F$47-100)/100,0)+IF($F21="Si",('Listino Offerta'!$F$48-100)/100,0))+$H21*'Listino Offerta'!$D$49+'Riepilogo Fabbisogni'!I21*'Listino Offerta'!$D$50+'Riepilogo Fabbisogni'!J21*'Listino Offerta'!$D$51+'Riepilogo Fabbisogni'!K21*'Listino Offerta'!$D$52+$L21*'Listino Offerta'!$D$53,0)</f>
        <v>0</v>
      </c>
    </row>
    <row r="22" spans="1:24" s="244" customFormat="1" ht="12.75" customHeight="1">
      <c r="A22" s="241">
        <v>20</v>
      </c>
      <c r="B22" s="242">
        <f>'Servizi di Trasporto Dati'!D24</f>
        <v>0</v>
      </c>
      <c r="C22" s="242">
        <f>'Servizi di Trasporto Dati'!E24</f>
        <v>0</v>
      </c>
      <c r="D22" s="242" t="str">
        <f>IF(AND('Servizi di Trasporto Dati'!F24="Si",'Servizi di Trasporto Dati'!G24&lt;&gt;"Si"),"Si","")</f>
        <v/>
      </c>
      <c r="E22" s="242" t="str">
        <f>IF(AND('Servizi di Trasporto Dati'!F24&lt;&gt;"Si",'Servizi di Trasporto Dati'!G24="Si"),"Si","")</f>
        <v/>
      </c>
      <c r="F22" s="242" t="str">
        <f>IF(AND('Servizi di Trasporto Dati'!F24="Si",'Servizi di Trasporto Dati'!G24="Si"),"Si","")</f>
        <v/>
      </c>
      <c r="G22" s="242">
        <f>'Servizi di Trasporto Dati'!H24</f>
        <v>0</v>
      </c>
      <c r="H22" s="242">
        <f>'Servizi di Trasporto Dati'!I24</f>
        <v>0</v>
      </c>
      <c r="I22" s="242">
        <f>'Servizi di Trasporto Dati'!J24</f>
        <v>0</v>
      </c>
      <c r="J22" s="242">
        <f>'Servizi di Trasporto Dati'!K24</f>
        <v>0</v>
      </c>
      <c r="K22" s="242">
        <f>'Servizi di Trasporto Dati'!L24</f>
        <v>0</v>
      </c>
      <c r="L22" s="243">
        <f>'Servizi di Trasporto Dati'!M24</f>
        <v>0</v>
      </c>
      <c r="M22" s="50">
        <f>IF($B22&lt;&gt;0,VLOOKUP($B22,Listini!$A$3:$V$44,3,FALSE)*(1+IF($D22="Si",(Listini!$E$46-100)/100,0)+IF($F22="Si",(Listini!$E$48-100)/100,0)),0)</f>
        <v>0</v>
      </c>
      <c r="N22" s="50">
        <f>IF($B22&lt;&gt;0,(VLOOKUP($B22,Listini!$A$2:$V$44,4,FALSE)+IF($C22="Si",Listini!$D$45,0)+IF($G22&lt;&gt;0,VLOOKUP($G22,Listini!$A$54:$V$57,4,FALSE),0))*(1+IF($D22="Si",(Listini!$F$46-100)/100,0)+IF($E22="Si",(Listini!$F$47-100)/100,0)+IF($F22="Si",(Listini!$F$48-100)/100,0))+$H22*Listini!$D$49+'Riepilogo Fabbisogni'!I22*Listini!$D$50+'Riepilogo Fabbisogni'!J22*Listini!$D$51+'Riepilogo Fabbisogni'!K22*Listini!$D$52+$L22*Listini!$D$53,0)</f>
        <v>0</v>
      </c>
      <c r="O22" s="50">
        <f>IF($B22&lt;&gt;0,VLOOKUP($B22,Listini!$A$3:$V$44,7,FALSE)*(1+IF($D22="Si",(Listini!$I$46-100)/100,0)+IF($F22="Si",(Listini!$I$48-100)/100,0)),0)</f>
        <v>0</v>
      </c>
      <c r="P22" s="50">
        <f>IF($B22&lt;&gt;0,(VLOOKUP($B22,Listini!$A$2:$V$44,8,FALSE)+IF($C22="Si",Listini!$H$45,0)+IF($G22&lt;&gt;0,VLOOKUP($G22,Listini!$A$54:$V$57,8,FALSE),0))*(1+IF($D22="Si",(Listini!$J$46-100)/100,0)+IF($E22="Si",(Listini!$J$47-100)/100,0)+IF($F22="Si",(Listini!$J$48-100)/100,0))+$H22*Listini!$H$49+'Riepilogo Fabbisogni'!I22*Listini!$H$50+'Riepilogo Fabbisogni'!J22*Listini!$H$51+'Riepilogo Fabbisogni'!K22*Listini!$H$52+$L22*Listini!$H$53,0)</f>
        <v>0</v>
      </c>
      <c r="Q22" s="50">
        <f>IF($B22&lt;&gt;0,VLOOKUP($B22,Listini!$A$3:$V$44,11,FALSE)*(1+IF($D22="Si",(Listini!$M$46-100)/100,0)+IF($F22="Si",(Listini!$M$48-100)/100,0)),0)</f>
        <v>0</v>
      </c>
      <c r="R22" s="50">
        <f>IF($B22&lt;&gt;0,(VLOOKUP($B22,Listini!$A$2:$V$44,12,FALSE)+IF($C22="Si",Listini!$L$45,0)+IF($G22&lt;&gt;0,VLOOKUP($G22,Listini!$A$54:$V$57,12,FALSE),0))*(1+IF($D22="Si",(Listini!$N$46-100)/100,0)+IF($E22="Si",(Listini!$N$47-100)/100,0)+IF($F22="Si",(Listini!$N$48-100)/100,0))+$H22*Listini!$L$49+'Riepilogo Fabbisogni'!I22*Listini!$L$50+'Riepilogo Fabbisogni'!J22*Listini!$L$51+'Riepilogo Fabbisogni'!K22*Listini!$L$52+$L22*Listini!$L$53,0)</f>
        <v>0</v>
      </c>
      <c r="S22" s="244">
        <f>IF($B22&lt;&gt;0,VLOOKUP($B22,Listini!$A$3:$V$44,15,FALSE)*(1+IF($D22="Si",(Listini!$Q$46-100)/100,0)+IF($F22="Si",(Listini!$Q$48-100)/100,0)),0)</f>
        <v>0</v>
      </c>
      <c r="T22" s="244">
        <f>IF($B22&lt;&gt;0,(VLOOKUP($B22,Listini!$A$2:$V$44,16,FALSE)+IF($C22="Si",Listini!$P$45,0)+IF($G22&lt;&gt;0,VLOOKUP($G22,Listini!$A$54:$V$57,16,FALSE),0))*(1+IF($D22="Si",(Listini!$R$46-100)/100,0)+IF($E22="Si",(Listini!$R$47-100)/100,0)+IF($F22="Si",(Listini!$R$48-100)/100,0))+$H22*Listini!$P$49+'Riepilogo Fabbisogni'!I22*Listini!$P$50+'Riepilogo Fabbisogni'!J22*Listini!$P$51+'Riepilogo Fabbisogni'!K22*Listini!$P$52+$L22*Listini!$P$53,0)</f>
        <v>0</v>
      </c>
      <c r="U22" s="244">
        <f>IF($B22&lt;&gt;0,VLOOKUP($B22,Listini!$A$3:$V$44,19,FALSE)*(1+IF($D22="Si",(Listini!$U$46-100)/100,0)+IF($F22="Si",(Listini!$U$48-100)/100,0)),0)</f>
        <v>0</v>
      </c>
      <c r="V22" s="244">
        <f>IF($B22&lt;&gt;0,(VLOOKUP($B22,Listini!$A$2:$V$44,20,FALSE)+IF($C22="Si",Listini!$T$45,0)+IF($G22&lt;&gt;0,VLOOKUP($G22,Listini!$A$54:$V$57,20,FALSE),0))*(1+IF($D22="Si",(Listini!$V$46-100)/100,0)+IF($E22="Si",(Listini!$V$47-100)/100,0)+IF($F22="Si",(Listini!$V$48-100)/100,0))+$H22*Listini!$T$49+'Riepilogo Fabbisogni'!I22*Listini!$T$50+'Riepilogo Fabbisogni'!J22*Listini!$T$51+'Riepilogo Fabbisogni'!K22*Listini!$T$52+$L22*Listini!$T$53,0)</f>
        <v>0</v>
      </c>
      <c r="W22" s="244">
        <f>IF($B22&lt;&gt;0,VLOOKUP($B22,'Listino Offerta'!$A$2:$F$44,3,FALSE)*(1+IF($D22="Si",('Listino Offerta'!$E$46-100)/100,0)+IF($F22="Si",('Listino Offerta'!$E$48-100)/100,0)),0)</f>
        <v>0</v>
      </c>
      <c r="X22" s="244">
        <f>IF($B22&lt;&gt;0,(VLOOKUP($B22,'Listino Offerta'!$A$2:$F$44,4,FALSE)+IF($C22="Si",'Listino Offerta'!$D$45,0)+IF($G22&lt;&gt;0,VLOOKUP($G22,'Listino Offerta'!$A$54:$F$57,4,FALSE),0))*(1+IF($D22="Si",('Listino Offerta'!$F$46-100)/100,0)+IF($E22="Si",('Listino Offerta'!$F$47-100)/100,0)+IF($F22="Si",('Listino Offerta'!$F$48-100)/100,0))+$H22*'Listino Offerta'!$D$49+'Riepilogo Fabbisogni'!I22*'Listino Offerta'!$D$50+'Riepilogo Fabbisogni'!J22*'Listino Offerta'!$D$51+'Riepilogo Fabbisogni'!K22*'Listino Offerta'!$D$52+$L22*'Listino Offerta'!$D$53,0)</f>
        <v>0</v>
      </c>
    </row>
    <row r="23" spans="1:24" s="244" customFormat="1" ht="12.75" customHeight="1">
      <c r="A23" s="245"/>
      <c r="B23" s="245"/>
      <c r="C23" s="245"/>
      <c r="D23" s="245"/>
      <c r="E23" s="245"/>
      <c r="F23" s="245"/>
      <c r="G23" s="245"/>
      <c r="H23" s="245"/>
      <c r="I23" s="245"/>
      <c r="J23" s="245"/>
      <c r="K23" s="245"/>
      <c r="L23" s="245"/>
      <c r="M23" s="246"/>
      <c r="N23" s="50">
        <f>IF(B23&lt;&gt;0,VLOOKUP(B23,Listini!$A$2:$D$40,3,FALSE)*(1+IF(E23="Si",(Listini!$E$43-100)/100,0)+IF(G23="Si",(Listini!$E$45-100)/100,0)),0)</f>
        <v>0</v>
      </c>
      <c r="O23" s="50"/>
      <c r="P23" s="50"/>
      <c r="Q23" s="50"/>
      <c r="R23" s="50"/>
    </row>
    <row r="24" spans="1:24" s="248" customFormat="1" ht="24.75" customHeight="1">
      <c r="A24" s="258" t="s">
        <v>215</v>
      </c>
      <c r="B24" s="251"/>
      <c r="C24" s="409" t="s">
        <v>455</v>
      </c>
      <c r="D24" s="409"/>
      <c r="E24" s="411" t="s">
        <v>456</v>
      </c>
      <c r="F24" s="409"/>
      <c r="G24" s="411" t="s">
        <v>510</v>
      </c>
      <c r="H24" s="409"/>
      <c r="I24" s="411" t="s">
        <v>457</v>
      </c>
      <c r="J24" s="409"/>
      <c r="K24" s="411" t="s">
        <v>511</v>
      </c>
      <c r="L24" s="409"/>
      <c r="M24" s="409" t="s">
        <v>470</v>
      </c>
      <c r="N24" s="409"/>
    </row>
    <row r="25" spans="1:24" s="244" customFormat="1" ht="51">
      <c r="A25" s="259" t="s">
        <v>213</v>
      </c>
      <c r="B25" s="259" t="s">
        <v>509</v>
      </c>
      <c r="C25" s="240" t="s">
        <v>25</v>
      </c>
      <c r="D25" s="240" t="s">
        <v>454</v>
      </c>
      <c r="E25" s="240" t="s">
        <v>25</v>
      </c>
      <c r="F25" s="240" t="s">
        <v>454</v>
      </c>
      <c r="G25" s="240" t="s">
        <v>25</v>
      </c>
      <c r="H25" s="240" t="s">
        <v>454</v>
      </c>
      <c r="I25" s="240" t="s">
        <v>25</v>
      </c>
      <c r="J25" s="240" t="s">
        <v>454</v>
      </c>
      <c r="K25" s="240" t="s">
        <v>25</v>
      </c>
      <c r="L25" s="240" t="s">
        <v>454</v>
      </c>
      <c r="M25" s="240" t="s">
        <v>25</v>
      </c>
      <c r="N25" s="240" t="s">
        <v>454</v>
      </c>
    </row>
    <row r="26" spans="1:24" s="244" customFormat="1" ht="12.75" customHeight="1">
      <c r="A26" s="244" t="s">
        <v>505</v>
      </c>
      <c r="B26" s="244">
        <f>'Servizi di Posta Elettronica'!D3</f>
        <v>60</v>
      </c>
      <c r="C26" s="244">
        <f>$B26*Listini!$C$58</f>
        <v>396</v>
      </c>
      <c r="D26" s="244">
        <f>$B26*Listini!$D$58</f>
        <v>7.8000000000000007</v>
      </c>
      <c r="E26" s="244">
        <f>$B26*Listini!$G$58</f>
        <v>18</v>
      </c>
      <c r="F26" s="244">
        <f>$B26*Listini!$H$58</f>
        <v>17.399999999999999</v>
      </c>
      <c r="G26" s="244">
        <f>$B26*Listini!$K$58</f>
        <v>60</v>
      </c>
      <c r="H26" s="244">
        <f>$B26*Listini!$L$58</f>
        <v>4.8</v>
      </c>
      <c r="I26" s="244">
        <f>$B26*Listini!$O$58</f>
        <v>30</v>
      </c>
      <c r="J26" s="244">
        <f>$B26*Listini!$P$58</f>
        <v>15</v>
      </c>
      <c r="K26" s="244">
        <f>$B26*Listini!$S$58</f>
        <v>0</v>
      </c>
      <c r="L26" s="244">
        <f>$B26*Listini!$T$58</f>
        <v>19.2</v>
      </c>
      <c r="M26" s="244">
        <f>$B26*'Listino Offerta'!$C$58</f>
        <v>0</v>
      </c>
      <c r="N26" s="244">
        <f>$B26*'Listino Offerta'!$D$58</f>
        <v>0</v>
      </c>
    </row>
    <row r="27" spans="1:24" s="244" customFormat="1" ht="12.75" customHeight="1">
      <c r="A27" s="244" t="s">
        <v>507</v>
      </c>
      <c r="B27" s="244">
        <f>'Servizi di Posta Elettronica'!D4</f>
        <v>7</v>
      </c>
      <c r="C27" s="244">
        <f>$B27*Listini!$C$59</f>
        <v>46.9</v>
      </c>
      <c r="D27" s="244">
        <f>$B27*Listini!$D$59</f>
        <v>2.94</v>
      </c>
      <c r="E27" s="244">
        <f>$B27*Listini!$G$59</f>
        <v>2.4499999999999997</v>
      </c>
      <c r="F27" s="244">
        <f>$B27*Listini!$H$59</f>
        <v>2.8000000000000003</v>
      </c>
      <c r="G27" s="244">
        <f>$B27*Listini!$K$59</f>
        <v>7</v>
      </c>
      <c r="H27" s="244">
        <f>$B27*Listini!$L$59</f>
        <v>4.0599999999999996</v>
      </c>
      <c r="I27" s="244">
        <f>$B27*Listini!$O$59</f>
        <v>8.1199999999999992</v>
      </c>
      <c r="J27" s="244">
        <f>$B27*Listini!$P$59</f>
        <v>4.0599999999999996</v>
      </c>
      <c r="K27" s="244">
        <f>$B27*Listini!$S$59</f>
        <v>0</v>
      </c>
      <c r="L27" s="244">
        <f>$B27*Listini!$T$59</f>
        <v>2.8000000000000003</v>
      </c>
      <c r="M27" s="244">
        <f>$B27*'Listino Offerta'!$C$59</f>
        <v>0</v>
      </c>
      <c r="N27" s="244">
        <f>$B27*'Listino Offerta'!$D$59</f>
        <v>0</v>
      </c>
    </row>
    <row r="28" spans="1:24" s="244" customFormat="1" ht="12.75" customHeight="1">
      <c r="A28" s="245"/>
      <c r="B28" s="245"/>
      <c r="C28" s="245"/>
      <c r="D28" s="245"/>
      <c r="E28" s="245"/>
      <c r="F28" s="245"/>
      <c r="G28" s="245"/>
      <c r="H28" s="245"/>
      <c r="I28" s="245"/>
      <c r="J28" s="245"/>
      <c r="K28" s="245"/>
      <c r="L28" s="245"/>
    </row>
    <row r="29" spans="1:24" s="244" customFormat="1" ht="12.75" customHeight="1">
      <c r="A29" s="412" t="s">
        <v>216</v>
      </c>
      <c r="B29" s="413"/>
      <c r="C29" s="413"/>
      <c r="D29" s="413"/>
      <c r="E29" s="413"/>
      <c r="F29" s="413"/>
      <c r="G29" s="413"/>
      <c r="H29" s="413"/>
      <c r="I29" s="413"/>
      <c r="J29" s="413"/>
      <c r="K29" s="413"/>
      <c r="L29" s="409" t="s">
        <v>455</v>
      </c>
      <c r="M29" s="409"/>
      <c r="N29" s="411" t="s">
        <v>456</v>
      </c>
      <c r="O29" s="409"/>
      <c r="P29" s="411" t="s">
        <v>510</v>
      </c>
      <c r="Q29" s="409"/>
      <c r="R29" s="411" t="s">
        <v>457</v>
      </c>
      <c r="S29" s="409"/>
      <c r="T29" s="411" t="s">
        <v>511</v>
      </c>
      <c r="U29" s="409"/>
      <c r="V29" s="409" t="s">
        <v>470</v>
      </c>
      <c r="W29" s="409"/>
    </row>
    <row r="30" spans="1:24" s="248" customFormat="1" ht="89.25">
      <c r="A30" s="238" t="s">
        <v>212</v>
      </c>
      <c r="B30" s="239" t="s">
        <v>213</v>
      </c>
      <c r="C30" s="247" t="s">
        <v>105</v>
      </c>
      <c r="D30" s="247" t="s">
        <v>103</v>
      </c>
      <c r="E30" s="247" t="s">
        <v>104</v>
      </c>
      <c r="F30" s="247" t="s">
        <v>579</v>
      </c>
      <c r="G30" s="247" t="s">
        <v>581</v>
      </c>
      <c r="H30" s="275" t="s">
        <v>583</v>
      </c>
      <c r="I30" s="247" t="s">
        <v>77</v>
      </c>
      <c r="J30" s="247" t="s">
        <v>22</v>
      </c>
      <c r="K30" s="239" t="s">
        <v>447</v>
      </c>
      <c r="L30" s="240" t="s">
        <v>25</v>
      </c>
      <c r="M30" s="240" t="s">
        <v>454</v>
      </c>
      <c r="N30" s="240" t="s">
        <v>25</v>
      </c>
      <c r="O30" s="240" t="s">
        <v>454</v>
      </c>
      <c r="P30" s="240" t="s">
        <v>25</v>
      </c>
      <c r="Q30" s="240" t="s">
        <v>454</v>
      </c>
      <c r="R30" s="240" t="s">
        <v>25</v>
      </c>
      <c r="S30" s="240" t="s">
        <v>454</v>
      </c>
      <c r="T30" s="240" t="s">
        <v>25</v>
      </c>
      <c r="U30" s="240" t="s">
        <v>454</v>
      </c>
      <c r="V30" s="240" t="s">
        <v>25</v>
      </c>
      <c r="W30" s="240" t="s">
        <v>454</v>
      </c>
    </row>
    <row r="31" spans="1:24" s="244" customFormat="1" ht="12.75" customHeight="1">
      <c r="A31" s="241">
        <v>1</v>
      </c>
      <c r="B31" s="275" t="str">
        <f>IF('Servizi di Sicurezza Perimetr.'!D5&lt;&gt;"SCEN",'Servizi di Sicurezza Perimetr.'!D5,'Servizi di Trasporto Dati'!AF5)</f>
        <v>SPUN-2</v>
      </c>
      <c r="C31" s="245" t="str">
        <f>'Servizi di Sicurezza Perimetr.'!E5</f>
        <v>si</v>
      </c>
      <c r="D31" s="245" t="str">
        <f>'Servizi di Sicurezza Perimetr.'!F5</f>
        <v>si</v>
      </c>
      <c r="E31" s="245" t="str">
        <f>'Servizi di Sicurezza Perimetr.'!G5</f>
        <v>si</v>
      </c>
      <c r="F31" s="245" t="str">
        <f>'Servizi di Sicurezza Perimetr.'!H5</f>
        <v>si</v>
      </c>
      <c r="G31" s="245">
        <f>'Servizi di Sicurezza Perimetr.'!I5</f>
        <v>0</v>
      </c>
      <c r="H31" s="245">
        <f>'Servizi di Sicurezza Perimetr.'!J5</f>
        <v>0</v>
      </c>
      <c r="I31" s="245" t="str">
        <f>IF(AND('Servizi di Sicurezza Perimetr.'!$K5="Si",'Servizi di Sicurezza Perimetr.'!$L5&lt;&gt;"Si"),"Si","")</f>
        <v/>
      </c>
      <c r="J31" s="245" t="str">
        <f>IF(AND('Servizi di Sicurezza Perimetr.'!$K5&lt;&gt;"Si",'Servizi di Sicurezza Perimetr.'!$L5="Si"),"Si","")</f>
        <v/>
      </c>
      <c r="K31" s="245" t="str">
        <f>IF(AND('Servizi di Sicurezza Perimetr.'!$K5="Si",'Servizi di Sicurezza Perimetr.'!$L5="Si"),"Si","")</f>
        <v/>
      </c>
      <c r="L31" s="50">
        <f>IF(B31&lt;&gt;0,VLOOKUP(B31,Listini!$A$60:$V$90,3,FALSE)*(1+IF(I31="Si",(Listini!$E$120-100)/100,0)+IF(K31="Si",(Listini!$E$122-100)/100,0)),0)</f>
        <v>7800</v>
      </c>
      <c r="M31" s="50">
        <f>IF(B31&lt;&gt;0,(VLOOKUP(B31,Listini!$A$60:$V$90,4,FALSE)+IF(C31="Si",VLOOKUP(CONCATENATE(B31,"-AACF"),Listini!$A$91:$V$96,4,FALSE),0)+IF(D31="Si",VLOOKUP(CONCATENATE(B31,"-AFM"),Listini!$A$97:$V$102,4,FALSE),0)+IF(E31="Si",VLOOKUP(CONCATENATE(B31,"-VPN"),Listini!$A$103:$V$108,4,FALSE),0)+IF(F31="Si",VLOOKUP(CONCATENATE(B31,"-WAF"),Listini!$A$109:$V$114,4,FALSE),0))*(1+IF(I31="Si",(Listini!$F$120-100)/100,0)+IF(J31="Si",(Listini!$F$121-100)/100,0)+IF(K31="Si",(Listini!$F$122-100)/100,0)),0)+IF(G31&lt;&gt;0,VLOOKUP(G31,Listini!$A$115:$V$117,4,FALSE),0)+IF(H31&lt;&gt;0,$H31*Listini!$D$118,0)</f>
        <v>268.15999999999997</v>
      </c>
      <c r="N31" s="50">
        <f>IF(B31&lt;&gt;0,VLOOKUP(B31,Listini!$A$60:$V$90,7,FALSE)*(1+IF(I31="Si",(Listini!$I$120-100)/100,0)+IF(K31="Si",(Listini!$I$122-100)/100,0)),0)</f>
        <v>106</v>
      </c>
      <c r="O31" s="50">
        <f>IF(B31&lt;&gt;0,(VLOOKUP(B31,Listini!$A$60:$V$90,8,FALSE)+IF(C31="Si",VLOOKUP(CONCATENATE(B31,"-AACF"),Listini!$A$91:$V$96,8,FALSE),0)+IF(D31="Si",VLOOKUP(CONCATENATE(B31,"-AFM"),Listini!$A$97:$V$102,8,FALSE),0)+IF(E31="Si",VLOOKUP(CONCATENATE(B31,"-VPN"),Listini!$A$103:$V$108,8,FALSE),0)+IF(F31="Si",VLOOKUP(CONCATENATE(B31,"-WAF"),Listini!$A$109:$V$114,8,FALSE),0))*(1+IF(I31="Si",(Listini!$J$120-100)/100,0)+IF(J31="Si",(Listini!$J$121-100)/100,0)+IF(K31="Si",(Listini!$J$122-100)/100,0)),0)+IF(G31&lt;&gt;0,VLOOKUP(G31,Listini!$A$115:$V$117,8,FALSE),0)+IF(H31&lt;&gt;0,$H31*Listini!$H$118,0)</f>
        <v>528</v>
      </c>
      <c r="P31" s="50">
        <f>IF(B31&lt;&gt;0,VLOOKUP(B31,Listini!$A$60:$V$90,11,FALSE)*(1+IF(I31="Si",(Listini!$M$120-100)/100,0)+IF(K31="Si",(Listini!$M$122-100)/100,0)),0)</f>
        <v>500</v>
      </c>
      <c r="Q31" s="244">
        <f>IF(B31&lt;&gt;0,(VLOOKUP(B31,Listini!$A$60:$V$90,12,FALSE)+IF(C31="Si",VLOOKUP(CONCATENATE(B31,"-AACF"),Listini!$A$91:$V$96,12,FALSE),0)+IF(D31="Si",VLOOKUP(CONCATENATE(B31,"-AFM"),Listini!$A$97:$V$102,12,FALSE),0)+IF(E31="Si",VLOOKUP(CONCATENATE(B31,"-VPN"),Listini!$A$102:$V$108,12,FALSE),0)+IF(F31="Si",VLOOKUP(CONCATENATE(B31,"-WAF"),Listini!$A$109:$V$114,12,FALSE),0))*(1+IF(I31="Si",(Listini!$N$120-100)/100,0)+IF(J31="Si",(Listini!$N$121-100)/100,0)+IF(K31="Si",(Listini!$N$122-100)/100,0)),0)+IF(G31&lt;&gt;0,VLOOKUP(G31,Listini!$A$115:$V$117,12,FALSE),0)+IF(H31&lt;&gt;0,$H31*Listini!$L$118,0)</f>
        <v>354.86</v>
      </c>
      <c r="R31" s="244">
        <f>IF(B31&lt;&gt;0,VLOOKUP(B31,Listini!$A$60:$V$90,15,FALSE)*(1+IF(I31="Si",(Listini!$Q$120-100)/100,0)+IF(K31="Si",(Listini!$Q$122-100)/100,0)),0)</f>
        <v>1040</v>
      </c>
      <c r="S31" s="244">
        <f>IF(B31&lt;&gt;0,(VLOOKUP(B31,Listini!$A$60:$V$90,16,FALSE)+IF(C31="Si",VLOOKUP(CONCATENATE(B31,"-AACF"),Listini!$A$91:$V$96,16,FALSE),0)+IF(D31="Si",VLOOKUP(CONCATENATE(B31,"-AFM"),Listini!$A$97:$V$102,16,FALSE),0)+IF(E31="Si",VLOOKUP(CONCATENATE(B31,"-VPN"),Listini!$A$103:$V$108,16,FALSE),0)+IF(F31="Si",VLOOKUP(CONCATENATE(B31,"-WAF"),Listini!$A$109:$V$114,16,FALSE),0))*(1+IF(I31="Si",(Listini!$R$120-100)/100,0)+IF(J31="Si",(Listini!$R$121-100)/100,0)+IF(K31="Si",(Listini!$R$122-100)/100,0)),0)+IF(G31&lt;&gt;0,VLOOKUP(G31,Listini!$A$115:$V$117,16,FALSE),0)+IF(H31&lt;&gt;0,$H31*Listini!$P$118,0)</f>
        <v>260</v>
      </c>
      <c r="T31" s="244">
        <f>IF(B31&lt;&gt;0,VLOOKUP(B31,Listini!$A$60:$V$90,19,FALSE)*(1+IF(I31="Si",(Listini!$U$120-100)/100,0)+IF(K31="Si",(Listini!$U$122-100)/100,0)),0)</f>
        <v>200</v>
      </c>
      <c r="U31" s="244">
        <f>IF(B31&lt;&gt;0,(VLOOKUP(B31,Listini!$A$60:$V$90,20,FALSE)+IF(C31="Si",VLOOKUP(CONCATENATE(B31,"-AACF"),Listini!$A$91:$V$96,20,FALSE),0)+IF(D31="Si",VLOOKUP(CONCATENATE(B31,"-AFM"),Listini!$A$97:$V$102,20,FALSE),0)+IF(E31="Si",VLOOKUP(CONCATENATE(B31,"-VPN"),Listini!$A$103:$V$108,20,FALSE),0)+IF(F31="Si",VLOOKUP(CONCATENATE(B31,"-WAF"),Listini!$A$109:$V$114,20,FALSE),0))*(1+IF(I31="Si",(Listini!$V$120-100)/100,0)+IF(J31="Si",(Listini!$V$121-100)/100,0)+IF(K31="Si",(Listini!$V$122-100)/100,0)),0)+IF(G31&lt;&gt;0,VLOOKUP(G31,Listini!$A$115:$V$117,20,FALSE),0)+IF(H31&lt;&gt;0,$H31*Listini!$T$118,0)</f>
        <v>89</v>
      </c>
      <c r="V31" s="244">
        <f>IF(B31&lt;&gt;0,VLOOKUP(B31,'Listino Offerta'!$A$60:$V$90,3,FALSE)*(1+IF(I31="Si",('Listino Offerta'!$E$120-100)/100,0)+IF(K31="Si",('Listino Offerta'!$E$122-100)/100,0)),0)</f>
        <v>0</v>
      </c>
      <c r="W31" s="244">
        <f>IF(B31&lt;&gt;0,(VLOOKUP(B31,'Listino Offerta'!$A$60:$V$90,4,FALSE)+IF(C31="Si",VLOOKUP(CONCATENATE(B31,"-AACF"),'Listino Offerta'!$A$91:$V$96,4,FALSE),0)+IF(D31="Si",VLOOKUP(CONCATENATE(B31,"-AFM"),'Listino Offerta'!$A$97:$V$102,4,FALSE),0)+IF(E31="Si",VLOOKUP(CONCATENATE(B31,"-VPN"),'Listino Offerta'!$A$103:$V$108,4,FALSE),0)+IF(F31="Si",VLOOKUP(CONCATENATE(B31,"-WAF"),'Listino Offerta'!$A$109:$V$114,4,FALSE),0))*(1+IF(I31="Si",('Listino Offerta'!$F$120-100)/100,0)+IF(J31="Si",('Listino Offerta'!$F$121-100)/100,0)+IF(K31="Si",('Listino Offerta'!$F$122-100)/100,0)),0)+IF(G31&lt;&gt;0,VLOOKUP(G31,'Listino Offerta'!$A$115:$V$117,4,FALSE),0)+IF(H31&lt;&gt;0,$H31*'Listino Offerta'!$D$118,0)</f>
        <v>0</v>
      </c>
    </row>
    <row r="32" spans="1:24" s="244" customFormat="1" ht="12.75" customHeight="1">
      <c r="A32" s="241">
        <v>2</v>
      </c>
      <c r="B32" s="275">
        <f>IF('Servizi di Sicurezza Perimetr.'!D6&lt;&gt;"SCEN",'Servizi di Sicurezza Perimetr.'!D6,'Servizi di Trasporto Dati'!AF6)</f>
        <v>0</v>
      </c>
      <c r="C32" s="245">
        <f>'Servizi di Sicurezza Perimetr.'!E6</f>
        <v>0</v>
      </c>
      <c r="D32" s="245">
        <f>'Servizi di Sicurezza Perimetr.'!F6</f>
        <v>0</v>
      </c>
      <c r="E32" s="245">
        <f>'Servizi di Sicurezza Perimetr.'!G6</f>
        <v>0</v>
      </c>
      <c r="F32" s="245">
        <f>'Servizi di Sicurezza Perimetr.'!H6</f>
        <v>0</v>
      </c>
      <c r="G32" s="245">
        <f>'Servizi di Sicurezza Perimetr.'!I6</f>
        <v>0</v>
      </c>
      <c r="H32" s="245">
        <f>'Servizi di Sicurezza Perimetr.'!J6</f>
        <v>0</v>
      </c>
      <c r="I32" s="245" t="str">
        <f>IF(AND('Servizi di Sicurezza Perimetr.'!$K6="Si",'Servizi di Sicurezza Perimetr.'!$L6&lt;&gt;"Si"),"Si","")</f>
        <v/>
      </c>
      <c r="J32" s="245" t="str">
        <f>IF(AND('Servizi di Sicurezza Perimetr.'!$K6&lt;&gt;"Si",'Servizi di Sicurezza Perimetr.'!$L6="Si"),"Si","")</f>
        <v/>
      </c>
      <c r="K32" s="245" t="str">
        <f>IF(AND('Servizi di Sicurezza Perimetr.'!$K6="Si",'Servizi di Sicurezza Perimetr.'!$L6="Si"),"Si","")</f>
        <v/>
      </c>
      <c r="L32" s="50">
        <f>IF(B32&lt;&gt;0,VLOOKUP(B32,Listini!$A$60:$V$90,3,FALSE)*(1+IF(I32="Si",(Listini!$E$120-100)/100,0)+IF(K32="Si",(Listini!$E$122-100)/100,0)),0)</f>
        <v>0</v>
      </c>
      <c r="M32" s="50">
        <f>IF(B32&lt;&gt;0,(VLOOKUP(B32,Listini!$A$60:$V$90,4,FALSE)+IF(C32="Si",VLOOKUP(CONCATENATE(B32,"-AACF"),Listini!$A$91:$V$96,4,FALSE),0)+IF(D32="Si",VLOOKUP(CONCATENATE(B32,"-AFM"),Listini!$A$97:$V$102,4,FALSE),0)+IF(E32="Si",VLOOKUP(CONCATENATE(B32,"-VPN"),Listini!$A$103:$V$108,4,FALSE),0)+IF(F32="Si",VLOOKUP(CONCATENATE(B32,"-WAF"),Listini!$A$109:$V$114,4,FALSE),0))*(1+IF(I32="Si",(Listini!$F$120-100)/100,0)+IF(J32="Si",(Listini!$F$121-100)/100,0)+IF(K32="Si",(Listini!$F$122-100)/100,0)),0)+IF(G32&lt;&gt;0,VLOOKUP(G32,Listini!$A$115:$V$117,4,FALSE),0)+IF(H32&lt;&gt;0,$H32*Listini!$D$118,0)</f>
        <v>0</v>
      </c>
      <c r="N32" s="50">
        <f>IF(B32&lt;&gt;0,VLOOKUP(B32,Listini!$A$60:$V$90,7,FALSE)*(1+IF(I32="Si",(Listini!$I$120-100)/100,0)+IF(K32="Si",(Listini!$I$122-100)/100,0)),0)</f>
        <v>0</v>
      </c>
      <c r="O32" s="50">
        <f>IF(B32&lt;&gt;0,(VLOOKUP(B32,Listini!$A$60:$V$90,8,FALSE)+IF(C32="Si",VLOOKUP(CONCATENATE(B32,"-AACF"),Listini!$A$91:$V$96,8,FALSE),0)+IF(D32="Si",VLOOKUP(CONCATENATE(B32,"-AFM"),Listini!$A$97:$V$102,8,FALSE),0)+IF(E32="Si",VLOOKUP(CONCATENATE(B32,"-VPN"),Listini!$A$103:$V$108,8,FALSE),0)+IF(F32="Si",VLOOKUP(CONCATENATE(B32,"-WAF"),Listini!$A$109:$V$114,8,FALSE),0))*(1+IF(I32="Si",(Listini!$J$120-100)/100,0)+IF(J32="Si",(Listini!$J$121-100)/100,0)+IF(K32="Si",(Listini!$J$122-100)/100,0)),0)+IF(G32&lt;&gt;0,VLOOKUP(G32,Listini!$A$115:$V$117,8,FALSE),0)+IF(H32&lt;&gt;0,$H32*Listini!$H$118,0)</f>
        <v>0</v>
      </c>
      <c r="P32" s="50">
        <f>IF(B32&lt;&gt;0,VLOOKUP(B32,Listini!$A$60:$V$90,11,FALSE)*(1+IF(I32="Si",(Listini!$M$120-100)/100,0)+IF(K32="Si",(Listini!$M$122-100)/100,0)),0)</f>
        <v>0</v>
      </c>
      <c r="Q32" s="244">
        <f>IF(B32&lt;&gt;0,(VLOOKUP(B32,Listini!$A$60:$V$90,12,FALSE)+IF(C32="Si",VLOOKUP(CONCATENATE(B32,"-AACF"),Listini!$A$91:$V$96,12,FALSE),0)+IF(D32="Si",VLOOKUP(CONCATENATE(B32,"-AFM"),Listini!$A$97:$V$102,12,FALSE),0)+IF(E32="Si",VLOOKUP(CONCATENATE(B32,"-VPN"),Listini!$A$102:$V$108,12,FALSE),0)+IF(F32="Si",VLOOKUP(CONCATENATE(B32,"-WAF"),Listini!$A$109:$V$114,12,FALSE),0))*(1+IF(I32="Si",(Listini!$N$120-100)/100,0)+IF(J32="Si",(Listini!$N$121-100)/100,0)+IF(K32="Si",(Listini!$N$122-100)/100,0)),0)+IF(G32&lt;&gt;0,VLOOKUP(G32,Listini!$A$115:$V$117,12,FALSE),0)+IF(H32&lt;&gt;0,$H32*Listini!$L$118,0)</f>
        <v>0</v>
      </c>
      <c r="R32" s="244">
        <f>IF(B32&lt;&gt;0,VLOOKUP(B32,Listini!$A$60:$V$90,15,FALSE)*(1+IF(I32="Si",(Listini!$Q$120-100)/100,0)+IF(K32="Si",(Listini!$Q$122-100)/100,0)),0)</f>
        <v>0</v>
      </c>
      <c r="S32" s="244">
        <f>IF(B32&lt;&gt;0,(VLOOKUP(B32,Listini!$A$60:$V$90,16,FALSE)+IF(C32="Si",VLOOKUP(CONCATENATE(B32,"-AACF"),Listini!$A$91:$V$96,16,FALSE),0)+IF(D32="Si",VLOOKUP(CONCATENATE(B32,"-AFM"),Listini!$A$97:$V$102,16,FALSE),0)+IF(E32="Si",VLOOKUP(CONCATENATE(B32,"-VPN"),Listini!$A$103:$V$108,16,FALSE),0)+IF(F32="Si",VLOOKUP(CONCATENATE(B32,"-WAF"),Listini!$A$109:$V$114,16,FALSE),0))*(1+IF(I32="Si",(Listini!$R$120-100)/100,0)+IF(J32="Si",(Listini!$R$121-100)/100,0)+IF(K32="Si",(Listini!$R$122-100)/100,0)),0)+IF(G32&lt;&gt;0,VLOOKUP(G32,Listini!$A$115:$V$117,16,FALSE),0)+IF(H32&lt;&gt;0,$H32*Listini!$P$118,0)</f>
        <v>0</v>
      </c>
      <c r="T32" s="244">
        <f>IF(B32&lt;&gt;0,VLOOKUP(B32,Listini!$A$60:$V$90,19,FALSE)*(1+IF(I32="Si",(Listini!$U$120-100)/100,0)+IF(K32="Si",(Listini!$U$122-100)/100,0)),0)</f>
        <v>0</v>
      </c>
      <c r="U32" s="244">
        <f>IF(B32&lt;&gt;0,(VLOOKUP(B32,Listini!$A$60:$V$90,20,FALSE)+IF(C32="Si",VLOOKUP(CONCATENATE(B32,"-AACF"),Listini!$A$91:$V$96,20,FALSE),0)+IF(D32="Si",VLOOKUP(CONCATENATE(B32,"-AFM"),Listini!$A$97:$V$102,20,FALSE),0)+IF(E32="Si",VLOOKUP(CONCATENATE(B32,"-VPN"),Listini!$A$103:$V$108,20,FALSE),0)+IF(F32="Si",VLOOKUP(CONCATENATE(B32,"-WAF"),Listini!$A$109:$V$114,20,FALSE),0))*(1+IF(I32="Si",(Listini!$V$120-100)/100,0)+IF(J32="Si",(Listini!$V$121-100)/100,0)+IF(K32="Si",(Listini!$V$122-100)/100,0)),0)+IF(G32&lt;&gt;0,VLOOKUP(G32,Listini!$A$115:$V$117,20,FALSE),0)+IF(H32&lt;&gt;0,$H32*Listini!$T$118,0)</f>
        <v>0</v>
      </c>
      <c r="V32" s="244">
        <f>IF(B32&lt;&gt;0,VLOOKUP(B32,'Listino Offerta'!$A$60:$V$90,3,FALSE)*(1+IF(I32="Si",('Listino Offerta'!$E$120-100)/100,0)+IF(K32="Si",('Listino Offerta'!$E$122-100)/100,0)),0)</f>
        <v>0</v>
      </c>
      <c r="W32" s="244">
        <f>IF(B32&lt;&gt;0,(VLOOKUP(B32,'Listino Offerta'!$A$60:$V$90,4,FALSE)+IF(C32="Si",VLOOKUP(CONCATENATE(B32,"-AACF"),'Listino Offerta'!$A$91:$V$96,4,FALSE),0)+IF(D32="Si",VLOOKUP(CONCATENATE(B32,"-AFM"),'Listino Offerta'!$A$97:$V$102,4,FALSE),0)+IF(E32="Si",VLOOKUP(CONCATENATE(B32,"-VPN"),'Listino Offerta'!$A$103:$V$108,4,FALSE),0)+IF(F32="Si",VLOOKUP(CONCATENATE(B32,"-WAF"),'Listino Offerta'!$A$109:$V$114,4,FALSE),0))*(1+IF(I32="Si",('Listino Offerta'!$F$120-100)/100,0)+IF(J32="Si",('Listino Offerta'!$F$121-100)/100,0)+IF(K32="Si",('Listino Offerta'!$F$122-100)/100,0)),0)+IF(G32&lt;&gt;0,VLOOKUP(G32,'Listino Offerta'!$A$115:$V$117,4,FALSE),0)+IF(H32&lt;&gt;0,$H32*'Listino Offerta'!$D$118,0)</f>
        <v>0</v>
      </c>
    </row>
    <row r="33" spans="1:23" s="244" customFormat="1" ht="12.75" customHeight="1">
      <c r="A33" s="241">
        <v>3</v>
      </c>
      <c r="B33" s="275">
        <f>IF('Servizi di Sicurezza Perimetr.'!D7&lt;&gt;"SCEN",'Servizi di Sicurezza Perimetr.'!D7,'Servizi di Trasporto Dati'!AF7)</f>
        <v>0</v>
      </c>
      <c r="C33" s="245">
        <f>'Servizi di Sicurezza Perimetr.'!E7</f>
        <v>0</v>
      </c>
      <c r="D33" s="245">
        <f>'Servizi di Sicurezza Perimetr.'!F7</f>
        <v>0</v>
      </c>
      <c r="E33" s="245">
        <f>'Servizi di Sicurezza Perimetr.'!G7</f>
        <v>0</v>
      </c>
      <c r="F33" s="245">
        <f>'Servizi di Sicurezza Perimetr.'!H7</f>
        <v>0</v>
      </c>
      <c r="G33" s="245">
        <f>'Servizi di Sicurezza Perimetr.'!I7</f>
        <v>0</v>
      </c>
      <c r="H33" s="245">
        <f>'Servizi di Sicurezza Perimetr.'!J7</f>
        <v>0</v>
      </c>
      <c r="I33" s="245" t="str">
        <f>IF(AND('Servizi di Sicurezza Perimetr.'!$K7="Si",'Servizi di Sicurezza Perimetr.'!$L7&lt;&gt;"Si"),"Si","")</f>
        <v/>
      </c>
      <c r="J33" s="245" t="str">
        <f>IF(AND('Servizi di Sicurezza Perimetr.'!$K7&lt;&gt;"Si",'Servizi di Sicurezza Perimetr.'!$L7="Si"),"Si","")</f>
        <v/>
      </c>
      <c r="K33" s="245" t="str">
        <f>IF(AND('Servizi di Sicurezza Perimetr.'!$K7="Si",'Servizi di Sicurezza Perimetr.'!$L7="Si"),"Si","")</f>
        <v/>
      </c>
      <c r="L33" s="50">
        <f>IF(B33&lt;&gt;0,VLOOKUP(B33,Listini!$A$60:$V$90,3,FALSE)*(1+IF(I33="Si",(Listini!$E$120-100)/100,0)+IF(K33="Si",(Listini!$E$122-100)/100,0)),0)</f>
        <v>0</v>
      </c>
      <c r="M33" s="50">
        <f>IF(B33&lt;&gt;0,(VLOOKUP(B33,Listini!$A$60:$V$90,4,FALSE)+IF(C33="Si",VLOOKUP(CONCATENATE(B33,"-AACF"),Listini!$A$91:$V$96,4,FALSE),0)+IF(D33="Si",VLOOKUP(CONCATENATE(B33,"-AFM"),Listini!$A$97:$V$102,4,FALSE),0)+IF(E33="Si",VLOOKUP(CONCATENATE(B33,"-VPN"),Listini!$A$103:$V$108,4,FALSE),0)+IF(F33="Si",VLOOKUP(CONCATENATE(B33,"-WAF"),Listini!$A$109:$V$114,4,FALSE),0))*(1+IF(I33="Si",(Listini!$F$120-100)/100,0)+IF(J33="Si",(Listini!$F$121-100)/100,0)+IF(K33="Si",(Listini!$F$122-100)/100,0)),0)+IF(G33&lt;&gt;0,VLOOKUP(G33,Listini!$A$115:$V$117,4,FALSE),0)+IF(H33&lt;&gt;0,$H33*Listini!$D$118,0)</f>
        <v>0</v>
      </c>
      <c r="N33" s="50">
        <f>IF(B33&lt;&gt;0,VLOOKUP(B33,Listini!$A$60:$V$90,7,FALSE)*(1+IF(I33="Si",(Listini!$I$120-100)/100,0)+IF(K33="Si",(Listini!$I$122-100)/100,0)),0)</f>
        <v>0</v>
      </c>
      <c r="O33" s="50">
        <f>IF(B33&lt;&gt;0,(VLOOKUP(B33,Listini!$A$60:$V$90,8,FALSE)+IF(C33="Si",VLOOKUP(CONCATENATE(B33,"-AACF"),Listini!$A$91:$V$96,8,FALSE),0)+IF(D33="Si",VLOOKUP(CONCATENATE(B33,"-AFM"),Listini!$A$97:$V$102,8,FALSE),0)+IF(E33="Si",VLOOKUP(CONCATENATE(B33,"-VPN"),Listini!$A$103:$V$108,8,FALSE),0)+IF(F33="Si",VLOOKUP(CONCATENATE(B33,"-WAF"),Listini!$A$109:$V$114,8,FALSE),0))*(1+IF(I33="Si",(Listini!$J$120-100)/100,0)+IF(J33="Si",(Listini!$J$121-100)/100,0)+IF(K33="Si",(Listini!$J$122-100)/100,0)),0)+IF(G33&lt;&gt;0,VLOOKUP(G33,Listini!$A$115:$V$117,8,FALSE),0)+IF(H33&lt;&gt;0,$H33*Listini!$H$118,0)</f>
        <v>0</v>
      </c>
      <c r="P33" s="50">
        <f>IF(B33&lt;&gt;0,VLOOKUP(B33,Listini!$A$60:$V$90,11,FALSE)*(1+IF(I33="Si",(Listini!$M$120-100)/100,0)+IF(K33="Si",(Listini!$M$122-100)/100,0)),0)</f>
        <v>0</v>
      </c>
      <c r="Q33" s="244">
        <f>IF(B33&lt;&gt;0,(VLOOKUP(B33,Listini!$A$60:$V$90,12,FALSE)+IF(C33="Si",VLOOKUP(CONCATENATE(B33,"-AACF"),Listini!$A$91:$V$96,12,FALSE),0)+IF(D33="Si",VLOOKUP(CONCATENATE(B33,"-AFM"),Listini!$A$97:$V$102,12,FALSE),0)+IF(E33="Si",VLOOKUP(CONCATENATE(B33,"-VPN"),Listini!$A$102:$V$108,12,FALSE),0)+IF(F33="Si",VLOOKUP(CONCATENATE(B33,"-WAF"),Listini!$A$109:$V$114,12,FALSE),0))*(1+IF(I33="Si",(Listini!$N$120-100)/100,0)+IF(J33="Si",(Listini!$N$121-100)/100,0)+IF(K33="Si",(Listini!$N$122-100)/100,0)),0)+IF(G33&lt;&gt;0,VLOOKUP(G33,Listini!$A$115:$V$117,12,FALSE),0)+IF(H33&lt;&gt;0,$H33*Listini!$L$118,0)</f>
        <v>0</v>
      </c>
      <c r="R33" s="244">
        <f>IF(B33&lt;&gt;0,VLOOKUP(B33,Listini!$A$60:$V$90,15,FALSE)*(1+IF(I33="Si",(Listini!$Q$120-100)/100,0)+IF(K33="Si",(Listini!$Q$122-100)/100,0)),0)</f>
        <v>0</v>
      </c>
      <c r="S33" s="244">
        <f>IF(B33&lt;&gt;0,(VLOOKUP(B33,Listini!$A$60:$V$90,16,FALSE)+IF(C33="Si",VLOOKUP(CONCATENATE(B33,"-AACF"),Listini!$A$91:$V$96,16,FALSE),0)+IF(D33="Si",VLOOKUP(CONCATENATE(B33,"-AFM"),Listini!$A$97:$V$102,16,FALSE),0)+IF(E33="Si",VLOOKUP(CONCATENATE(B33,"-VPN"),Listini!$A$103:$V$108,16,FALSE),0)+IF(F33="Si",VLOOKUP(CONCATENATE(B33,"-WAF"),Listini!$A$109:$V$114,16,FALSE),0))*(1+IF(I33="Si",(Listini!$R$120-100)/100,0)+IF(J33="Si",(Listini!$R$121-100)/100,0)+IF(K33="Si",(Listini!$R$122-100)/100,0)),0)+IF(G33&lt;&gt;0,VLOOKUP(G33,Listini!$A$115:$V$117,16,FALSE),0)+IF(H33&lt;&gt;0,$H33*Listini!$P$118,0)</f>
        <v>0</v>
      </c>
      <c r="T33" s="244">
        <f>IF(B33&lt;&gt;0,VLOOKUP(B33,Listini!$A$60:$V$90,19,FALSE)*(1+IF(I33="Si",(Listini!$U$120-100)/100,0)+IF(K33="Si",(Listini!$U$122-100)/100,0)),0)</f>
        <v>0</v>
      </c>
      <c r="U33" s="244">
        <f>IF(B33&lt;&gt;0,(VLOOKUP(B33,Listini!$A$60:$V$90,20,FALSE)+IF(C33="Si",VLOOKUP(CONCATENATE(B33,"-AACF"),Listini!$A$91:$V$96,20,FALSE),0)+IF(D33="Si",VLOOKUP(CONCATENATE(B33,"-AFM"),Listini!$A$97:$V$102,20,FALSE),0)+IF(E33="Si",VLOOKUP(CONCATENATE(B33,"-VPN"),Listini!$A$103:$V$108,20,FALSE),0)+IF(F33="Si",VLOOKUP(CONCATENATE(B33,"-WAF"),Listini!$A$109:$V$114,20,FALSE),0))*(1+IF(I33="Si",(Listini!$V$120-100)/100,0)+IF(J33="Si",(Listini!$V$121-100)/100,0)+IF(K33="Si",(Listini!$V$122-100)/100,0)),0)+IF(G33&lt;&gt;0,VLOOKUP(G33,Listini!$A$115:$V$117,20,FALSE),0)+IF(H33&lt;&gt;0,$H33*Listini!$T$118,0)</f>
        <v>0</v>
      </c>
      <c r="V33" s="244">
        <f>IF(B33&lt;&gt;0,VLOOKUP(B33,'Listino Offerta'!$A$60:$V$90,3,FALSE)*(1+IF(I33="Si",('Listino Offerta'!$E$120-100)/100,0)+IF(K33="Si",('Listino Offerta'!$E$122-100)/100,0)),0)</f>
        <v>0</v>
      </c>
      <c r="W33" s="244">
        <f>IF(B33&lt;&gt;0,(VLOOKUP(B33,'Listino Offerta'!$A$60:$V$90,4,FALSE)+IF(C33="Si",VLOOKUP(CONCATENATE(B33,"-AACF"),'Listino Offerta'!$A$91:$V$96,4,FALSE),0)+IF(D33="Si",VLOOKUP(CONCATENATE(B33,"-AFM"),'Listino Offerta'!$A$97:$V$102,4,FALSE),0)+IF(E33="Si",VLOOKUP(CONCATENATE(B33,"-VPN"),'Listino Offerta'!$A$103:$V$108,4,FALSE),0)+IF(F33="Si",VLOOKUP(CONCATENATE(B33,"-WAF"),'Listino Offerta'!$A$109:$V$114,4,FALSE),0))*(1+IF(I33="Si",('Listino Offerta'!$F$120-100)/100,0)+IF(J33="Si",('Listino Offerta'!$F$121-100)/100,0)+IF(K33="Si",('Listino Offerta'!$F$122-100)/100,0)),0)+IF(G33&lt;&gt;0,VLOOKUP(G33,'Listino Offerta'!$A$115:$V$117,4,FALSE),0)+IF(H33&lt;&gt;0,$H33*'Listino Offerta'!$D$118,0)</f>
        <v>0</v>
      </c>
    </row>
    <row r="34" spans="1:23" s="244" customFormat="1" ht="12.75" customHeight="1">
      <c r="A34" s="241">
        <v>4</v>
      </c>
      <c r="B34" s="275">
        <f>IF('Servizi di Sicurezza Perimetr.'!D8&lt;&gt;"SCEN",'Servizi di Sicurezza Perimetr.'!D8,'Servizi di Trasporto Dati'!AF8)</f>
        <v>0</v>
      </c>
      <c r="C34" s="245">
        <f>'Servizi di Sicurezza Perimetr.'!E8</f>
        <v>0</v>
      </c>
      <c r="D34" s="245">
        <f>'Servizi di Sicurezza Perimetr.'!F8</f>
        <v>0</v>
      </c>
      <c r="E34" s="245">
        <f>'Servizi di Sicurezza Perimetr.'!G8</f>
        <v>0</v>
      </c>
      <c r="F34" s="245">
        <f>'Servizi di Sicurezza Perimetr.'!H8</f>
        <v>0</v>
      </c>
      <c r="G34" s="245">
        <f>'Servizi di Sicurezza Perimetr.'!I8</f>
        <v>0</v>
      </c>
      <c r="H34" s="245">
        <f>'Servizi di Sicurezza Perimetr.'!J8</f>
        <v>0</v>
      </c>
      <c r="I34" s="245" t="str">
        <f>IF(AND('Servizi di Sicurezza Perimetr.'!$K8="Si",'Servizi di Sicurezza Perimetr.'!$L8&lt;&gt;"Si"),"Si","")</f>
        <v/>
      </c>
      <c r="J34" s="245" t="str">
        <f>IF(AND('Servizi di Sicurezza Perimetr.'!$K8&lt;&gt;"Si",'Servizi di Sicurezza Perimetr.'!$L8="Si"),"Si","")</f>
        <v/>
      </c>
      <c r="K34" s="245" t="str">
        <f>IF(AND('Servizi di Sicurezza Perimetr.'!$K8="Si",'Servizi di Sicurezza Perimetr.'!$L8="Si"),"Si","")</f>
        <v/>
      </c>
      <c r="L34" s="50">
        <f>IF(B34&lt;&gt;0,VLOOKUP(B34,Listini!$A$60:$V$90,3,FALSE)*(1+IF(I34="Si",(Listini!$E$120-100)/100,0)+IF(K34="Si",(Listini!$E$122-100)/100,0)),0)</f>
        <v>0</v>
      </c>
      <c r="M34" s="50">
        <f>IF(B34&lt;&gt;0,(VLOOKUP(B34,Listini!$A$60:$V$90,4,FALSE)+IF(C34="Si",VLOOKUP(CONCATENATE(B34,"-AACF"),Listini!$A$91:$V$96,4,FALSE),0)+IF(D34="Si",VLOOKUP(CONCATENATE(B34,"-AFM"),Listini!$A$97:$V$102,4,FALSE),0)+IF(E34="Si",VLOOKUP(CONCATENATE(B34,"-VPN"),Listini!$A$103:$V$108,4,FALSE),0)+IF(F34="Si",VLOOKUP(CONCATENATE(B34,"-WAF"),Listini!$A$109:$V$114,4,FALSE),0))*(1+IF(I34="Si",(Listini!$F$120-100)/100,0)+IF(J34="Si",(Listini!$F$121-100)/100,0)+IF(K34="Si",(Listini!$F$122-100)/100,0)),0)+IF(G34&lt;&gt;0,VLOOKUP(G34,Listini!$A$115:$V$117,4,FALSE),0)+IF(H34&lt;&gt;0,$H34*Listini!$D$118,0)</f>
        <v>0</v>
      </c>
      <c r="N34" s="50">
        <f>IF(B34&lt;&gt;0,VLOOKUP(B34,Listini!$A$60:$V$90,7,FALSE)*(1+IF(I34="Si",(Listini!$I$120-100)/100,0)+IF(K34="Si",(Listini!$I$122-100)/100,0)),0)</f>
        <v>0</v>
      </c>
      <c r="O34" s="50">
        <f>IF(B34&lt;&gt;0,(VLOOKUP(B34,Listini!$A$60:$V$90,8,FALSE)+IF(C34="Si",VLOOKUP(CONCATENATE(B34,"-AACF"),Listini!$A$91:$V$96,8,FALSE),0)+IF(D34="Si",VLOOKUP(CONCATENATE(B34,"-AFM"),Listini!$A$97:$V$102,8,FALSE),0)+IF(E34="Si",VLOOKUP(CONCATENATE(B34,"-VPN"),Listini!$A$103:$V$108,8,FALSE),0)+IF(F34="Si",VLOOKUP(CONCATENATE(B34,"-WAF"),Listini!$A$109:$V$114,8,FALSE),0))*(1+IF(I34="Si",(Listini!$J$120-100)/100,0)+IF(J34="Si",(Listini!$J$121-100)/100,0)+IF(K34="Si",(Listini!$J$122-100)/100,0)),0)+IF(G34&lt;&gt;0,VLOOKUP(G34,Listini!$A$115:$V$117,8,FALSE),0)+IF(H34&lt;&gt;0,$H34*Listini!$H$118,0)</f>
        <v>0</v>
      </c>
      <c r="P34" s="50">
        <f>IF(B34&lt;&gt;0,VLOOKUP(B34,Listini!$A$60:$V$90,11,FALSE)*(1+IF(I34="Si",(Listini!$M$120-100)/100,0)+IF(K34="Si",(Listini!$M$122-100)/100,0)),0)</f>
        <v>0</v>
      </c>
      <c r="Q34" s="244">
        <f>IF(B34&lt;&gt;0,(VLOOKUP(B34,Listini!$A$60:$V$90,12,FALSE)+IF(C34="Si",VLOOKUP(CONCATENATE(B34,"-AACF"),Listini!$A$91:$V$96,12,FALSE),0)+IF(D34="Si",VLOOKUP(CONCATENATE(B34,"-AFM"),Listini!$A$97:$V$102,12,FALSE),0)+IF(E34="Si",VLOOKUP(CONCATENATE(B34,"-VPN"),Listini!$A$102:$V$108,12,FALSE),0)+IF(F34="Si",VLOOKUP(CONCATENATE(B34,"-WAF"),Listini!$A$109:$V$114,12,FALSE),0))*(1+IF(I34="Si",(Listini!$N$120-100)/100,0)+IF(J34="Si",(Listini!$N$121-100)/100,0)+IF(K34="Si",(Listini!$N$122-100)/100,0)),0)+IF(G34&lt;&gt;0,VLOOKUP(G34,Listini!$A$115:$V$117,12,FALSE),0)+IF(H34&lt;&gt;0,$H34*Listini!$L$118,0)</f>
        <v>0</v>
      </c>
      <c r="R34" s="244">
        <f>IF(B34&lt;&gt;0,VLOOKUP(B34,Listini!$A$60:$V$90,15,FALSE)*(1+IF(I34="Si",(Listini!$Q$120-100)/100,0)+IF(K34="Si",(Listini!$Q$122-100)/100,0)),0)</f>
        <v>0</v>
      </c>
      <c r="S34" s="244">
        <f>IF(B34&lt;&gt;0,(VLOOKUP(B34,Listini!$A$60:$V$90,16,FALSE)+IF(C34="Si",VLOOKUP(CONCATENATE(B34,"-AACF"),Listini!$A$91:$V$96,16,FALSE),0)+IF(D34="Si",VLOOKUP(CONCATENATE(B34,"-AFM"),Listini!$A$97:$V$102,16,FALSE),0)+IF(E34="Si",VLOOKUP(CONCATENATE(B34,"-VPN"),Listini!$A$103:$V$108,16,FALSE),0)+IF(F34="Si",VLOOKUP(CONCATENATE(B34,"-WAF"),Listini!$A$109:$V$114,16,FALSE),0))*(1+IF(I34="Si",(Listini!$R$120-100)/100,0)+IF(J34="Si",(Listini!$R$121-100)/100,0)+IF(K34="Si",(Listini!$R$122-100)/100,0)),0)+IF(G34&lt;&gt;0,VLOOKUP(G34,Listini!$A$115:$V$117,16,FALSE),0)+IF(H34&lt;&gt;0,$H34*Listini!$P$118,0)</f>
        <v>0</v>
      </c>
      <c r="T34" s="244">
        <f>IF(B34&lt;&gt;0,VLOOKUP(B34,Listini!$A$60:$V$90,19,FALSE)*(1+IF(I34="Si",(Listini!$U$120-100)/100,0)+IF(K34="Si",(Listini!$U$122-100)/100,0)),0)</f>
        <v>0</v>
      </c>
      <c r="U34" s="244">
        <f>IF(B34&lt;&gt;0,(VLOOKUP(B34,Listini!$A$60:$V$90,20,FALSE)+IF(C34="Si",VLOOKUP(CONCATENATE(B34,"-AACF"),Listini!$A$91:$V$96,20,FALSE),0)+IF(D34="Si",VLOOKUP(CONCATENATE(B34,"-AFM"),Listini!$A$97:$V$102,20,FALSE),0)+IF(E34="Si",VLOOKUP(CONCATENATE(B34,"-VPN"),Listini!$A$103:$V$108,20,FALSE),0)+IF(F34="Si",VLOOKUP(CONCATENATE(B34,"-WAF"),Listini!$A$109:$V$114,20,FALSE),0))*(1+IF(I34="Si",(Listini!$V$120-100)/100,0)+IF(J34="Si",(Listini!$V$121-100)/100,0)+IF(K34="Si",(Listini!$V$122-100)/100,0)),0)+IF(G34&lt;&gt;0,VLOOKUP(G34,Listini!$A$115:$V$117,20,FALSE),0)+IF(H34&lt;&gt;0,$H34*Listini!$T$118,0)</f>
        <v>0</v>
      </c>
      <c r="V34" s="244">
        <f>IF(B34&lt;&gt;0,VLOOKUP(B34,'Listino Offerta'!$A$60:$V$90,3,FALSE)*(1+IF(I34="Si",('Listino Offerta'!$E$120-100)/100,0)+IF(K34="Si",('Listino Offerta'!$E$122-100)/100,0)),0)</f>
        <v>0</v>
      </c>
      <c r="W34" s="244">
        <f>IF(B34&lt;&gt;0,(VLOOKUP(B34,'Listino Offerta'!$A$60:$V$90,4,FALSE)+IF(C34="Si",VLOOKUP(CONCATENATE(B34,"-AACF"),'Listino Offerta'!$A$91:$V$96,4,FALSE),0)+IF(D34="Si",VLOOKUP(CONCATENATE(B34,"-AFM"),'Listino Offerta'!$A$97:$V$102,4,FALSE),0)+IF(E34="Si",VLOOKUP(CONCATENATE(B34,"-VPN"),'Listino Offerta'!$A$103:$V$108,4,FALSE),0)+IF(F34="Si",VLOOKUP(CONCATENATE(B34,"-WAF"),'Listino Offerta'!$A$109:$V$114,4,FALSE),0))*(1+IF(I34="Si",('Listino Offerta'!$F$120-100)/100,0)+IF(J34="Si",('Listino Offerta'!$F$121-100)/100,0)+IF(K34="Si",('Listino Offerta'!$F$122-100)/100,0)),0)+IF(G34&lt;&gt;0,VLOOKUP(G34,'Listino Offerta'!$A$115:$V$117,4,FALSE),0)+IF(H34&lt;&gt;0,$H34*'Listino Offerta'!$D$118,0)</f>
        <v>0</v>
      </c>
    </row>
    <row r="35" spans="1:23" s="244" customFormat="1" ht="12.75" customHeight="1">
      <c r="A35" s="241">
        <v>5</v>
      </c>
      <c r="B35" s="275">
        <f>IF('Servizi di Sicurezza Perimetr.'!D9&lt;&gt;"SCEN",'Servizi di Sicurezza Perimetr.'!D9,'Servizi di Trasporto Dati'!AF9)</f>
        <v>0</v>
      </c>
      <c r="C35" s="245">
        <f>'Servizi di Sicurezza Perimetr.'!E9</f>
        <v>0</v>
      </c>
      <c r="D35" s="245">
        <f>'Servizi di Sicurezza Perimetr.'!F9</f>
        <v>0</v>
      </c>
      <c r="E35" s="245">
        <f>'Servizi di Sicurezza Perimetr.'!G9</f>
        <v>0</v>
      </c>
      <c r="F35" s="245">
        <f>'Servizi di Sicurezza Perimetr.'!H9</f>
        <v>0</v>
      </c>
      <c r="G35" s="245">
        <f>'Servizi di Sicurezza Perimetr.'!I9</f>
        <v>0</v>
      </c>
      <c r="H35" s="245">
        <f>'Servizi di Sicurezza Perimetr.'!J9</f>
        <v>0</v>
      </c>
      <c r="I35" s="245" t="str">
        <f>IF(AND('Servizi di Sicurezza Perimetr.'!$K9="Si",'Servizi di Sicurezza Perimetr.'!$L9&lt;&gt;"Si"),"Si","")</f>
        <v/>
      </c>
      <c r="J35" s="245" t="str">
        <f>IF(AND('Servizi di Sicurezza Perimetr.'!$K9&lt;&gt;"Si",'Servizi di Sicurezza Perimetr.'!$L9="Si"),"Si","")</f>
        <v/>
      </c>
      <c r="K35" s="245" t="str">
        <f>IF(AND('Servizi di Sicurezza Perimetr.'!$K9="Si",'Servizi di Sicurezza Perimetr.'!$L9="Si"),"Si","")</f>
        <v/>
      </c>
      <c r="L35" s="50">
        <f>IF(B35&lt;&gt;0,VLOOKUP(B35,Listini!$A$60:$V$90,3,FALSE)*(1+IF(I35="Si",(Listini!$E$120-100)/100,0)+IF(K35="Si",(Listini!$E$122-100)/100,0)),0)</f>
        <v>0</v>
      </c>
      <c r="M35" s="50">
        <f>IF(B35&lt;&gt;0,(VLOOKUP(B35,Listini!$A$60:$V$90,4,FALSE)+IF(C35="Si",VLOOKUP(CONCATENATE(B35,"-AACF"),Listini!$A$91:$V$96,4,FALSE),0)+IF(D35="Si",VLOOKUP(CONCATENATE(B35,"-AFM"),Listini!$A$97:$V$102,4,FALSE),0)+IF(E35="Si",VLOOKUP(CONCATENATE(B35,"-VPN"),Listini!$A$103:$V$108,4,FALSE),0)+IF(F35="Si",VLOOKUP(CONCATENATE(B35,"-WAF"),Listini!$A$109:$V$114,4,FALSE),0))*(1+IF(I35="Si",(Listini!$F$120-100)/100,0)+IF(J35="Si",(Listini!$F$121-100)/100,0)+IF(K35="Si",(Listini!$F$122-100)/100,0)),0)+IF(G35&lt;&gt;0,VLOOKUP(G35,Listini!$A$115:$V$117,4,FALSE),0)+IF(H35&lt;&gt;0,$H35*Listini!$D$118,0)</f>
        <v>0</v>
      </c>
      <c r="N35" s="50">
        <f>IF(B35&lt;&gt;0,VLOOKUP(B35,Listini!$A$60:$V$90,7,FALSE)*(1+IF(I35="Si",(Listini!$I$120-100)/100,0)+IF(K35="Si",(Listini!$I$122-100)/100,0)),0)</f>
        <v>0</v>
      </c>
      <c r="O35" s="50">
        <f>IF(B35&lt;&gt;0,(VLOOKUP(B35,Listini!$A$60:$V$90,8,FALSE)+IF(C35="Si",VLOOKUP(CONCATENATE(B35,"-AACF"),Listini!$A$91:$V$96,8,FALSE),0)+IF(D35="Si",VLOOKUP(CONCATENATE(B35,"-AFM"),Listini!$A$97:$V$102,8,FALSE),0)+IF(E35="Si",VLOOKUP(CONCATENATE(B35,"-VPN"),Listini!$A$103:$V$108,8,FALSE),0)+IF(F35="Si",VLOOKUP(CONCATENATE(B35,"-WAF"),Listini!$A$109:$V$114,8,FALSE),0))*(1+IF(I35="Si",(Listini!$J$120-100)/100,0)+IF(J35="Si",(Listini!$J$121-100)/100,0)+IF(K35="Si",(Listini!$J$122-100)/100,0)),0)+IF(G35&lt;&gt;0,VLOOKUP(G35,Listini!$A$115:$V$117,8,FALSE),0)+IF(H35&lt;&gt;0,$H35*Listini!$H$118,0)</f>
        <v>0</v>
      </c>
      <c r="P35" s="50">
        <f>IF(B35&lt;&gt;0,VLOOKUP(B35,Listini!$A$60:$V$90,11,FALSE)*(1+IF(I35="Si",(Listini!$M$120-100)/100,0)+IF(K35="Si",(Listini!$M$122-100)/100,0)),0)</f>
        <v>0</v>
      </c>
      <c r="Q35" s="244">
        <f>IF(B35&lt;&gt;0,(VLOOKUP(B35,Listini!$A$60:$V$90,12,FALSE)+IF(C35="Si",VLOOKUP(CONCATENATE(B35,"-AACF"),Listini!$A$91:$V$96,12,FALSE),0)+IF(D35="Si",VLOOKUP(CONCATENATE(B35,"-AFM"),Listini!$A$97:$V$102,12,FALSE),0)+IF(E35="Si",VLOOKUP(CONCATENATE(B35,"-VPN"),Listini!$A$102:$V$108,12,FALSE),0)+IF(F35="Si",VLOOKUP(CONCATENATE(B35,"-WAF"),Listini!$A$109:$V$114,12,FALSE),0))*(1+IF(I35="Si",(Listini!$N$120-100)/100,0)+IF(J35="Si",(Listini!$N$121-100)/100,0)+IF(K35="Si",(Listini!$N$122-100)/100,0)),0)+IF(G35&lt;&gt;0,VLOOKUP(G35,Listini!$A$115:$V$117,12,FALSE),0)+IF(H35&lt;&gt;0,$H35*Listini!$L$118,0)</f>
        <v>0</v>
      </c>
      <c r="R35" s="244">
        <f>IF(B35&lt;&gt;0,VLOOKUP(B35,Listini!$A$60:$V$90,15,FALSE)*(1+IF(I35="Si",(Listini!$Q$120-100)/100,0)+IF(K35="Si",(Listini!$Q$122-100)/100,0)),0)</f>
        <v>0</v>
      </c>
      <c r="S35" s="244">
        <f>IF(B35&lt;&gt;0,(VLOOKUP(B35,Listini!$A$60:$V$90,16,FALSE)+IF(C35="Si",VLOOKUP(CONCATENATE(B35,"-AACF"),Listini!$A$91:$V$96,16,FALSE),0)+IF(D35="Si",VLOOKUP(CONCATENATE(B35,"-AFM"),Listini!$A$97:$V$102,16,FALSE),0)+IF(E35="Si",VLOOKUP(CONCATENATE(B35,"-VPN"),Listini!$A$103:$V$108,16,FALSE),0)+IF(F35="Si",VLOOKUP(CONCATENATE(B35,"-WAF"),Listini!$A$109:$V$114,16,FALSE),0))*(1+IF(I35="Si",(Listini!$R$120-100)/100,0)+IF(J35="Si",(Listini!$R$121-100)/100,0)+IF(K35="Si",(Listini!$R$122-100)/100,0)),0)+IF(G35&lt;&gt;0,VLOOKUP(G35,Listini!$A$115:$V$117,16,FALSE),0)+IF(H35&lt;&gt;0,$H35*Listini!$P$118,0)</f>
        <v>0</v>
      </c>
      <c r="T35" s="244">
        <f>IF(B35&lt;&gt;0,VLOOKUP(B35,Listini!$A$60:$V$90,19,FALSE)*(1+IF(I35="Si",(Listini!$U$120-100)/100,0)+IF(K35="Si",(Listini!$U$122-100)/100,0)),0)</f>
        <v>0</v>
      </c>
      <c r="U35" s="244">
        <f>IF(B35&lt;&gt;0,(VLOOKUP(B35,Listini!$A$60:$V$90,20,FALSE)+IF(C35="Si",VLOOKUP(CONCATENATE(B35,"-AACF"),Listini!$A$91:$V$96,20,FALSE),0)+IF(D35="Si",VLOOKUP(CONCATENATE(B35,"-AFM"),Listini!$A$97:$V$102,20,FALSE),0)+IF(E35="Si",VLOOKUP(CONCATENATE(B35,"-VPN"),Listini!$A$103:$V$108,20,FALSE),0)+IF(F35="Si",VLOOKUP(CONCATENATE(B35,"-WAF"),Listini!$A$109:$V$114,20,FALSE),0))*(1+IF(I35="Si",(Listini!$V$120-100)/100,0)+IF(J35="Si",(Listini!$V$121-100)/100,0)+IF(K35="Si",(Listini!$V$122-100)/100,0)),0)+IF(G35&lt;&gt;0,VLOOKUP(G35,Listini!$A$115:$V$117,20,FALSE),0)+IF(H35&lt;&gt;0,$H35*Listini!$T$118,0)</f>
        <v>0</v>
      </c>
      <c r="V35" s="244">
        <f>IF(B35&lt;&gt;0,VLOOKUP(B35,'Listino Offerta'!$A$60:$V$90,3,FALSE)*(1+IF(I35="Si",('Listino Offerta'!$E$120-100)/100,0)+IF(K35="Si",('Listino Offerta'!$E$122-100)/100,0)),0)</f>
        <v>0</v>
      </c>
      <c r="W35" s="244">
        <f>IF(B35&lt;&gt;0,(VLOOKUP(B35,'Listino Offerta'!$A$60:$V$90,4,FALSE)+IF(C35="Si",VLOOKUP(CONCATENATE(B35,"-AACF"),'Listino Offerta'!$A$91:$V$96,4,FALSE),0)+IF(D35="Si",VLOOKUP(CONCATENATE(B35,"-AFM"),'Listino Offerta'!$A$97:$V$102,4,FALSE),0)+IF(E35="Si",VLOOKUP(CONCATENATE(B35,"-VPN"),'Listino Offerta'!$A$103:$V$108,4,FALSE),0)+IF(F35="Si",VLOOKUP(CONCATENATE(B35,"-WAF"),'Listino Offerta'!$A$109:$V$114,4,FALSE),0))*(1+IF(I35="Si",('Listino Offerta'!$F$120-100)/100,0)+IF(J35="Si",('Listino Offerta'!$F$121-100)/100,0)+IF(K35="Si",('Listino Offerta'!$F$122-100)/100,0)),0)+IF(G35&lt;&gt;0,VLOOKUP(G35,'Listino Offerta'!$A$115:$V$117,4,FALSE),0)+IF(H35&lt;&gt;0,$H35*'Listino Offerta'!$D$118,0)</f>
        <v>0</v>
      </c>
    </row>
    <row r="36" spans="1:23" s="244" customFormat="1" ht="12.75" customHeight="1">
      <c r="A36" s="241">
        <v>6</v>
      </c>
      <c r="B36" s="275">
        <f>IF('Servizi di Sicurezza Perimetr.'!D10&lt;&gt;"SCEN",'Servizi di Sicurezza Perimetr.'!D10,'Servizi di Trasporto Dati'!AF10)</f>
        <v>0</v>
      </c>
      <c r="C36" s="245">
        <f>'Servizi di Sicurezza Perimetr.'!E10</f>
        <v>0</v>
      </c>
      <c r="D36" s="245">
        <f>'Servizi di Sicurezza Perimetr.'!F10</f>
        <v>0</v>
      </c>
      <c r="E36" s="245">
        <f>'Servizi di Sicurezza Perimetr.'!G10</f>
        <v>0</v>
      </c>
      <c r="F36" s="245">
        <f>'Servizi di Sicurezza Perimetr.'!H10</f>
        <v>0</v>
      </c>
      <c r="G36" s="245">
        <f>'Servizi di Sicurezza Perimetr.'!I10</f>
        <v>0</v>
      </c>
      <c r="H36" s="245">
        <f>'Servizi di Sicurezza Perimetr.'!J10</f>
        <v>0</v>
      </c>
      <c r="I36" s="245" t="str">
        <f>IF(AND('Servizi di Sicurezza Perimetr.'!$K10="Si",'Servizi di Sicurezza Perimetr.'!$L10&lt;&gt;"Si"),"Si","")</f>
        <v/>
      </c>
      <c r="J36" s="245" t="str">
        <f>IF(AND('Servizi di Sicurezza Perimetr.'!$K10&lt;&gt;"Si",'Servizi di Sicurezza Perimetr.'!$L10="Si"),"Si","")</f>
        <v/>
      </c>
      <c r="K36" s="245" t="str">
        <f>IF(AND('Servizi di Sicurezza Perimetr.'!$K10="Si",'Servizi di Sicurezza Perimetr.'!$L10="Si"),"Si","")</f>
        <v/>
      </c>
      <c r="L36" s="50">
        <f>IF(B36&lt;&gt;0,VLOOKUP(B36,Listini!$A$60:$V$90,3,FALSE)*(1+IF(I36="Si",(Listini!$E$120-100)/100,0)+IF(K36="Si",(Listini!$E$122-100)/100,0)),0)</f>
        <v>0</v>
      </c>
      <c r="M36" s="50">
        <f>IF(B36&lt;&gt;0,(VLOOKUP(B36,Listini!$A$60:$V$90,4,FALSE)+IF(C36="Si",VLOOKUP(CONCATENATE(B36,"-AACF"),Listini!$A$91:$V$96,4,FALSE),0)+IF(D36="Si",VLOOKUP(CONCATENATE(B36,"-AFM"),Listini!$A$97:$V$102,4,FALSE),0)+IF(E36="Si",VLOOKUP(CONCATENATE(B36,"-VPN"),Listini!$A$103:$V$108,4,FALSE),0)+IF(F36="Si",VLOOKUP(CONCATENATE(B36,"-WAF"),Listini!$A$109:$V$114,4,FALSE),0))*(1+IF(I36="Si",(Listini!$F$120-100)/100,0)+IF(J36="Si",(Listini!$F$121-100)/100,0)+IF(K36="Si",(Listini!$F$122-100)/100,0)),0)+IF(G36&lt;&gt;0,VLOOKUP(G36,Listini!$A$115:$V$117,4,FALSE),0)+IF(H36&lt;&gt;0,$H36*Listini!$D$118,0)</f>
        <v>0</v>
      </c>
      <c r="N36" s="50">
        <f>IF(B36&lt;&gt;0,VLOOKUP(B36,Listini!$A$60:$V$90,7,FALSE)*(1+IF(I36="Si",(Listini!$I$120-100)/100,0)+IF(K36="Si",(Listini!$I$122-100)/100,0)),0)</f>
        <v>0</v>
      </c>
      <c r="O36" s="50">
        <f>IF(B36&lt;&gt;0,(VLOOKUP(B36,Listini!$A$60:$V$90,8,FALSE)+IF(C36="Si",VLOOKUP(CONCATENATE(B36,"-AACF"),Listini!$A$91:$V$96,8,FALSE),0)+IF(D36="Si",VLOOKUP(CONCATENATE(B36,"-AFM"),Listini!$A$97:$V$102,8,FALSE),0)+IF(E36="Si",VLOOKUP(CONCATENATE(B36,"-VPN"),Listini!$A$103:$V$108,8,FALSE),0)+IF(F36="Si",VLOOKUP(CONCATENATE(B36,"-WAF"),Listini!$A$109:$V$114,8,FALSE),0))*(1+IF(I36="Si",(Listini!$J$120-100)/100,0)+IF(J36="Si",(Listini!$J$121-100)/100,0)+IF(K36="Si",(Listini!$J$122-100)/100,0)),0)+IF(G36&lt;&gt;0,VLOOKUP(G36,Listini!$A$115:$V$117,8,FALSE),0)+IF(H36&lt;&gt;0,$H36*Listini!$H$118,0)</f>
        <v>0</v>
      </c>
      <c r="P36" s="50">
        <f>IF(B36&lt;&gt;0,VLOOKUP(B36,Listini!$A$60:$V$90,11,FALSE)*(1+IF(I36="Si",(Listini!$M$120-100)/100,0)+IF(K36="Si",(Listini!$M$122-100)/100,0)),0)</f>
        <v>0</v>
      </c>
      <c r="Q36" s="244">
        <f>IF(B36&lt;&gt;0,(VLOOKUP(B36,Listini!$A$60:$V$90,12,FALSE)+IF(C36="Si",VLOOKUP(CONCATENATE(B36,"-AACF"),Listini!$A$91:$V$96,12,FALSE),0)+IF(D36="Si",VLOOKUP(CONCATENATE(B36,"-AFM"),Listini!$A$97:$V$102,12,FALSE),0)+IF(E36="Si",VLOOKUP(CONCATENATE(B36,"-VPN"),Listini!$A$102:$V$108,12,FALSE),0)+IF(F36="Si",VLOOKUP(CONCATENATE(B36,"-WAF"),Listini!$A$109:$V$114,12,FALSE),0))*(1+IF(I36="Si",(Listini!$N$120-100)/100,0)+IF(J36="Si",(Listini!$N$121-100)/100,0)+IF(K36="Si",(Listini!$N$122-100)/100,0)),0)+IF(G36&lt;&gt;0,VLOOKUP(G36,Listini!$A$115:$V$117,12,FALSE),0)+IF(H36&lt;&gt;0,$H36*Listini!$L$118,0)</f>
        <v>0</v>
      </c>
      <c r="R36" s="244">
        <f>IF(B36&lt;&gt;0,VLOOKUP(B36,Listini!$A$60:$V$90,15,FALSE)*(1+IF(I36="Si",(Listini!$Q$120-100)/100,0)+IF(K36="Si",(Listini!$Q$122-100)/100,0)),0)</f>
        <v>0</v>
      </c>
      <c r="S36" s="244">
        <f>IF(B36&lt;&gt;0,(VLOOKUP(B36,Listini!$A$60:$V$90,16,FALSE)+IF(C36="Si",VLOOKUP(CONCATENATE(B36,"-AACF"),Listini!$A$91:$V$96,16,FALSE),0)+IF(D36="Si",VLOOKUP(CONCATENATE(B36,"-AFM"),Listini!$A$97:$V$102,16,FALSE),0)+IF(E36="Si",VLOOKUP(CONCATENATE(B36,"-VPN"),Listini!$A$103:$V$108,16,FALSE),0)+IF(F36="Si",VLOOKUP(CONCATENATE(B36,"-WAF"),Listini!$A$109:$V$114,16,FALSE),0))*(1+IF(I36="Si",(Listini!$R$120-100)/100,0)+IF(J36="Si",(Listini!$R$121-100)/100,0)+IF(K36="Si",(Listini!$R$122-100)/100,0)),0)+IF(G36&lt;&gt;0,VLOOKUP(G36,Listini!$A$115:$V$117,16,FALSE),0)+IF(H36&lt;&gt;0,$H36*Listini!$P$118,0)</f>
        <v>0</v>
      </c>
      <c r="T36" s="244">
        <f>IF(B36&lt;&gt;0,VLOOKUP(B36,Listini!$A$60:$V$90,19,FALSE)*(1+IF(I36="Si",(Listini!$U$120-100)/100,0)+IF(K36="Si",(Listini!$U$122-100)/100,0)),0)</f>
        <v>0</v>
      </c>
      <c r="U36" s="244">
        <f>IF(B36&lt;&gt;0,(VLOOKUP(B36,Listini!$A$60:$V$90,20,FALSE)+IF(C36="Si",VLOOKUP(CONCATENATE(B36,"-AACF"),Listini!$A$91:$V$96,20,FALSE),0)+IF(D36="Si",VLOOKUP(CONCATENATE(B36,"-AFM"),Listini!$A$97:$V$102,20,FALSE),0)+IF(E36="Si",VLOOKUP(CONCATENATE(B36,"-VPN"),Listini!$A$103:$V$108,20,FALSE),0)+IF(F36="Si",VLOOKUP(CONCATENATE(B36,"-WAF"),Listini!$A$109:$V$114,20,FALSE),0))*(1+IF(I36="Si",(Listini!$V$120-100)/100,0)+IF(J36="Si",(Listini!$V$121-100)/100,0)+IF(K36="Si",(Listini!$V$122-100)/100,0)),0)+IF(G36&lt;&gt;0,VLOOKUP(G36,Listini!$A$115:$V$117,20,FALSE),0)+IF(H36&lt;&gt;0,$H36*Listini!$T$118,0)</f>
        <v>0</v>
      </c>
      <c r="V36" s="244">
        <f>IF(B36&lt;&gt;0,VLOOKUP(B36,'Listino Offerta'!$A$60:$V$90,3,FALSE)*(1+IF(I36="Si",('Listino Offerta'!$E$120-100)/100,0)+IF(K36="Si",('Listino Offerta'!$E$122-100)/100,0)),0)</f>
        <v>0</v>
      </c>
      <c r="W36" s="244">
        <f>IF(B36&lt;&gt;0,(VLOOKUP(B36,'Listino Offerta'!$A$60:$V$90,4,FALSE)+IF(C36="Si",VLOOKUP(CONCATENATE(B36,"-AACF"),'Listino Offerta'!$A$91:$V$96,4,FALSE),0)+IF(D36="Si",VLOOKUP(CONCATENATE(B36,"-AFM"),'Listino Offerta'!$A$97:$V$102,4,FALSE),0)+IF(E36="Si",VLOOKUP(CONCATENATE(B36,"-VPN"),'Listino Offerta'!$A$103:$V$108,4,FALSE),0)+IF(F36="Si",VLOOKUP(CONCATENATE(B36,"-WAF"),'Listino Offerta'!$A$109:$V$114,4,FALSE),0))*(1+IF(I36="Si",('Listino Offerta'!$F$120-100)/100,0)+IF(J36="Si",('Listino Offerta'!$F$121-100)/100,0)+IF(K36="Si",('Listino Offerta'!$F$122-100)/100,0)),0)+IF(G36&lt;&gt;0,VLOOKUP(G36,'Listino Offerta'!$A$115:$V$117,4,FALSE),0)+IF(H36&lt;&gt;0,$H36*'Listino Offerta'!$D$118,0)</f>
        <v>0</v>
      </c>
    </row>
    <row r="37" spans="1:23" s="244" customFormat="1" ht="12.75" customHeight="1">
      <c r="A37" s="241">
        <v>7</v>
      </c>
      <c r="B37" s="275">
        <f>IF('Servizi di Sicurezza Perimetr.'!D11&lt;&gt;"SCEN",'Servizi di Sicurezza Perimetr.'!D11,'Servizi di Trasporto Dati'!AF11)</f>
        <v>0</v>
      </c>
      <c r="C37" s="245">
        <f>'Servizi di Sicurezza Perimetr.'!E11</f>
        <v>0</v>
      </c>
      <c r="D37" s="245">
        <f>'Servizi di Sicurezza Perimetr.'!F11</f>
        <v>0</v>
      </c>
      <c r="E37" s="245">
        <f>'Servizi di Sicurezza Perimetr.'!G11</f>
        <v>0</v>
      </c>
      <c r="F37" s="245">
        <f>'Servizi di Sicurezza Perimetr.'!H11</f>
        <v>0</v>
      </c>
      <c r="G37" s="245">
        <f>'Servizi di Sicurezza Perimetr.'!I11</f>
        <v>0</v>
      </c>
      <c r="H37" s="245">
        <f>'Servizi di Sicurezza Perimetr.'!J11</f>
        <v>0</v>
      </c>
      <c r="I37" s="245" t="str">
        <f>IF(AND('Servizi di Sicurezza Perimetr.'!$K11="Si",'Servizi di Sicurezza Perimetr.'!$L11&lt;&gt;"Si"),"Si","")</f>
        <v/>
      </c>
      <c r="J37" s="245" t="str">
        <f>IF(AND('Servizi di Sicurezza Perimetr.'!$K11&lt;&gt;"Si",'Servizi di Sicurezza Perimetr.'!$L11="Si"),"Si","")</f>
        <v/>
      </c>
      <c r="K37" s="245" t="str">
        <f>IF(AND('Servizi di Sicurezza Perimetr.'!$K11="Si",'Servizi di Sicurezza Perimetr.'!$L11="Si"),"Si","")</f>
        <v/>
      </c>
      <c r="L37" s="50">
        <f>IF(B37&lt;&gt;0,VLOOKUP(B37,Listini!$A$60:$V$90,3,FALSE)*(1+IF(I37="Si",(Listini!$E$120-100)/100,0)+IF(K37="Si",(Listini!$E$122-100)/100,0)),0)</f>
        <v>0</v>
      </c>
      <c r="M37" s="50">
        <f>IF(B37&lt;&gt;0,(VLOOKUP(B37,Listini!$A$60:$V$90,4,FALSE)+IF(C37="Si",VLOOKUP(CONCATENATE(B37,"-AACF"),Listini!$A$91:$V$96,4,FALSE),0)+IF(D37="Si",VLOOKUP(CONCATENATE(B37,"-AFM"),Listini!$A$97:$V$102,4,FALSE),0)+IF(E37="Si",VLOOKUP(CONCATENATE(B37,"-VPN"),Listini!$A$103:$V$108,4,FALSE),0)+IF(F37="Si",VLOOKUP(CONCATENATE(B37,"-WAF"),Listini!$A$109:$V$114,4,FALSE),0))*(1+IF(I37="Si",(Listini!$F$120-100)/100,0)+IF(J37="Si",(Listini!$F$121-100)/100,0)+IF(K37="Si",(Listini!$F$122-100)/100,0)),0)+IF(G37&lt;&gt;0,VLOOKUP(G37,Listini!$A$115:$V$117,4,FALSE),0)+IF(H37&lt;&gt;0,$H37*Listini!$D$118,0)</f>
        <v>0</v>
      </c>
      <c r="N37" s="50">
        <f>IF(B37&lt;&gt;0,VLOOKUP(B37,Listini!$A$60:$V$90,7,FALSE)*(1+IF(I37="Si",(Listini!$I$120-100)/100,0)+IF(K37="Si",(Listini!$I$122-100)/100,0)),0)</f>
        <v>0</v>
      </c>
      <c r="O37" s="50">
        <f>IF(B37&lt;&gt;0,(VLOOKUP(B37,Listini!$A$60:$V$90,8,FALSE)+IF(C37="Si",VLOOKUP(CONCATENATE(B37,"-AACF"),Listini!$A$91:$V$96,8,FALSE),0)+IF(D37="Si",VLOOKUP(CONCATENATE(B37,"-AFM"),Listini!$A$97:$V$102,8,FALSE),0)+IF(E37="Si",VLOOKUP(CONCATENATE(B37,"-VPN"),Listini!$A$103:$V$108,8,FALSE),0)+IF(F37="Si",VLOOKUP(CONCATENATE(B37,"-WAF"),Listini!$A$109:$V$114,8,FALSE),0))*(1+IF(I37="Si",(Listini!$J$120-100)/100,0)+IF(J37="Si",(Listini!$J$121-100)/100,0)+IF(K37="Si",(Listini!$J$122-100)/100,0)),0)+IF(G37&lt;&gt;0,VLOOKUP(G37,Listini!$A$115:$V$117,8,FALSE),0)+IF(H37&lt;&gt;0,$H37*Listini!$H$118,0)</f>
        <v>0</v>
      </c>
      <c r="P37" s="50">
        <f>IF(B37&lt;&gt;0,VLOOKUP(B37,Listini!$A$60:$V$90,11,FALSE)*(1+IF(I37="Si",(Listini!$M$120-100)/100,0)+IF(K37="Si",(Listini!$M$122-100)/100,0)),0)</f>
        <v>0</v>
      </c>
      <c r="Q37" s="244">
        <f>IF(B37&lt;&gt;0,(VLOOKUP(B37,Listini!$A$60:$V$90,12,FALSE)+IF(C37="Si",VLOOKUP(CONCATENATE(B37,"-AACF"),Listini!$A$91:$V$96,12,FALSE),0)+IF(D37="Si",VLOOKUP(CONCATENATE(B37,"-AFM"),Listini!$A$97:$V$102,12,FALSE),0)+IF(E37="Si",VLOOKUP(CONCATENATE(B37,"-VPN"),Listini!$A$102:$V$108,12,FALSE),0)+IF(F37="Si",VLOOKUP(CONCATENATE(B37,"-WAF"),Listini!$A$109:$V$114,12,FALSE),0))*(1+IF(I37="Si",(Listini!$N$120-100)/100,0)+IF(J37="Si",(Listini!$N$121-100)/100,0)+IF(K37="Si",(Listini!$N$122-100)/100,0)),0)+IF(G37&lt;&gt;0,VLOOKUP(G37,Listini!$A$115:$V$117,12,FALSE),0)+IF(H37&lt;&gt;0,$H37*Listini!$L$118,0)</f>
        <v>0</v>
      </c>
      <c r="R37" s="244">
        <f>IF(B37&lt;&gt;0,VLOOKUP(B37,Listini!$A$60:$V$90,15,FALSE)*(1+IF(I37="Si",(Listini!$Q$120-100)/100,0)+IF(K37="Si",(Listini!$Q$122-100)/100,0)),0)</f>
        <v>0</v>
      </c>
      <c r="S37" s="244">
        <f>IF(B37&lt;&gt;0,(VLOOKUP(B37,Listini!$A$60:$V$90,16,FALSE)+IF(C37="Si",VLOOKUP(CONCATENATE(B37,"-AACF"),Listini!$A$91:$V$96,16,FALSE),0)+IF(D37="Si",VLOOKUP(CONCATENATE(B37,"-AFM"),Listini!$A$97:$V$102,16,FALSE),0)+IF(E37="Si",VLOOKUP(CONCATENATE(B37,"-VPN"),Listini!$A$103:$V$108,16,FALSE),0)+IF(F37="Si",VLOOKUP(CONCATENATE(B37,"-WAF"),Listini!$A$109:$V$114,16,FALSE),0))*(1+IF(I37="Si",(Listini!$R$120-100)/100,0)+IF(J37="Si",(Listini!$R$121-100)/100,0)+IF(K37="Si",(Listini!$R$122-100)/100,0)),0)+IF(G37&lt;&gt;0,VLOOKUP(G37,Listini!$A$115:$V$117,16,FALSE),0)+IF(H37&lt;&gt;0,$H37*Listini!$P$118,0)</f>
        <v>0</v>
      </c>
      <c r="T37" s="244">
        <f>IF(B37&lt;&gt;0,VLOOKUP(B37,Listini!$A$60:$V$90,19,FALSE)*(1+IF(I37="Si",(Listini!$U$120-100)/100,0)+IF(K37="Si",(Listini!$U$122-100)/100,0)),0)</f>
        <v>0</v>
      </c>
      <c r="U37" s="244">
        <f>IF(B37&lt;&gt;0,(VLOOKUP(B37,Listini!$A$60:$V$90,20,FALSE)+IF(C37="Si",VLOOKUP(CONCATENATE(B37,"-AACF"),Listini!$A$91:$V$96,20,FALSE),0)+IF(D37="Si",VLOOKUP(CONCATENATE(B37,"-AFM"),Listini!$A$97:$V$102,20,FALSE),0)+IF(E37="Si",VLOOKUP(CONCATENATE(B37,"-VPN"),Listini!$A$103:$V$108,20,FALSE),0)+IF(F37="Si",VLOOKUP(CONCATENATE(B37,"-WAF"),Listini!$A$109:$V$114,20,FALSE),0))*(1+IF(I37="Si",(Listini!$V$120-100)/100,0)+IF(J37="Si",(Listini!$V$121-100)/100,0)+IF(K37="Si",(Listini!$V$122-100)/100,0)),0)+IF(G37&lt;&gt;0,VLOOKUP(G37,Listini!$A$115:$V$117,20,FALSE),0)+IF(H37&lt;&gt;0,$H37*Listini!$T$118,0)</f>
        <v>0</v>
      </c>
      <c r="V37" s="244">
        <f>IF(B37&lt;&gt;0,VLOOKUP(B37,'Listino Offerta'!$A$60:$V$90,3,FALSE)*(1+IF(I37="Si",('Listino Offerta'!$E$120-100)/100,0)+IF(K37="Si",('Listino Offerta'!$E$122-100)/100,0)),0)</f>
        <v>0</v>
      </c>
      <c r="W37" s="244">
        <f>IF(B37&lt;&gt;0,(VLOOKUP(B37,'Listino Offerta'!$A$60:$V$90,4,FALSE)+IF(C37="Si",VLOOKUP(CONCATENATE(B37,"-AACF"),'Listino Offerta'!$A$91:$V$96,4,FALSE),0)+IF(D37="Si",VLOOKUP(CONCATENATE(B37,"-AFM"),'Listino Offerta'!$A$97:$V$102,4,FALSE),0)+IF(E37="Si",VLOOKUP(CONCATENATE(B37,"-VPN"),'Listino Offerta'!$A$103:$V$108,4,FALSE),0)+IF(F37="Si",VLOOKUP(CONCATENATE(B37,"-WAF"),'Listino Offerta'!$A$109:$V$114,4,FALSE),0))*(1+IF(I37="Si",('Listino Offerta'!$F$120-100)/100,0)+IF(J37="Si",('Listino Offerta'!$F$121-100)/100,0)+IF(K37="Si",('Listino Offerta'!$F$122-100)/100,0)),0)+IF(G37&lt;&gt;0,VLOOKUP(G37,'Listino Offerta'!$A$115:$V$117,4,FALSE),0)+IF(H37&lt;&gt;0,$H37*'Listino Offerta'!$D$118,0)</f>
        <v>0</v>
      </c>
    </row>
    <row r="38" spans="1:23" s="244" customFormat="1" ht="12.75" customHeight="1">
      <c r="A38" s="241">
        <v>8</v>
      </c>
      <c r="B38" s="275">
        <f>IF('Servizi di Sicurezza Perimetr.'!D12&lt;&gt;"SCEN",'Servizi di Sicurezza Perimetr.'!D12,'Servizi di Trasporto Dati'!AF12)</f>
        <v>0</v>
      </c>
      <c r="C38" s="245">
        <f>'Servizi di Sicurezza Perimetr.'!E12</f>
        <v>0</v>
      </c>
      <c r="D38" s="245">
        <f>'Servizi di Sicurezza Perimetr.'!F12</f>
        <v>0</v>
      </c>
      <c r="E38" s="245">
        <f>'Servizi di Sicurezza Perimetr.'!G12</f>
        <v>0</v>
      </c>
      <c r="F38" s="245">
        <f>'Servizi di Sicurezza Perimetr.'!H12</f>
        <v>0</v>
      </c>
      <c r="G38" s="245">
        <f>'Servizi di Sicurezza Perimetr.'!I12</f>
        <v>0</v>
      </c>
      <c r="H38" s="245">
        <f>'Servizi di Sicurezza Perimetr.'!J12</f>
        <v>0</v>
      </c>
      <c r="I38" s="245" t="str">
        <f>IF(AND('Servizi di Sicurezza Perimetr.'!$K12="Si",'Servizi di Sicurezza Perimetr.'!$L12&lt;&gt;"Si"),"Si","")</f>
        <v/>
      </c>
      <c r="J38" s="245" t="str">
        <f>IF(AND('Servizi di Sicurezza Perimetr.'!$K12&lt;&gt;"Si",'Servizi di Sicurezza Perimetr.'!$L12="Si"),"Si","")</f>
        <v/>
      </c>
      <c r="K38" s="245" t="str">
        <f>IF(AND('Servizi di Sicurezza Perimetr.'!$K12="Si",'Servizi di Sicurezza Perimetr.'!$L12="Si"),"Si","")</f>
        <v/>
      </c>
      <c r="L38" s="50">
        <f>IF(B38&lt;&gt;0,VLOOKUP(B38,Listini!$A$60:$V$90,3,FALSE)*(1+IF(I38="Si",(Listini!$E$120-100)/100,0)+IF(K38="Si",(Listini!$E$122-100)/100,0)),0)</f>
        <v>0</v>
      </c>
      <c r="M38" s="50">
        <f>IF(B38&lt;&gt;0,(VLOOKUP(B38,Listini!$A$60:$V$90,4,FALSE)+IF(C38="Si",VLOOKUP(CONCATENATE(B38,"-AACF"),Listini!$A$91:$V$96,4,FALSE),0)+IF(D38="Si",VLOOKUP(CONCATENATE(B38,"-AFM"),Listini!$A$97:$V$102,4,FALSE),0)+IF(E38="Si",VLOOKUP(CONCATENATE(B38,"-VPN"),Listini!$A$103:$V$108,4,FALSE),0)+IF(F38="Si",VLOOKUP(CONCATENATE(B38,"-WAF"),Listini!$A$109:$V$114,4,FALSE),0))*(1+IF(I38="Si",(Listini!$F$120-100)/100,0)+IF(J38="Si",(Listini!$F$121-100)/100,0)+IF(K38="Si",(Listini!$F$122-100)/100,0)),0)+IF(G38&lt;&gt;0,VLOOKUP(G38,Listini!$A$115:$V$117,4,FALSE),0)+IF(H38&lt;&gt;0,$H38*Listini!$D$118,0)</f>
        <v>0</v>
      </c>
      <c r="N38" s="50">
        <f>IF(B38&lt;&gt;0,VLOOKUP(B38,Listini!$A$60:$V$90,7,FALSE)*(1+IF(I38="Si",(Listini!$I$120-100)/100,0)+IF(K38="Si",(Listini!$I$122-100)/100,0)),0)</f>
        <v>0</v>
      </c>
      <c r="O38" s="50">
        <f>IF(B38&lt;&gt;0,(VLOOKUP(B38,Listini!$A$60:$V$90,8,FALSE)+IF(C38="Si",VLOOKUP(CONCATENATE(B38,"-AACF"),Listini!$A$91:$V$96,8,FALSE),0)+IF(D38="Si",VLOOKUP(CONCATENATE(B38,"-AFM"),Listini!$A$97:$V$102,8,FALSE),0)+IF(E38="Si",VLOOKUP(CONCATENATE(B38,"-VPN"),Listini!$A$103:$V$108,8,FALSE),0)+IF(F38="Si",VLOOKUP(CONCATENATE(B38,"-WAF"),Listini!$A$109:$V$114,8,FALSE),0))*(1+IF(I38="Si",(Listini!$J$120-100)/100,0)+IF(J38="Si",(Listini!$J$121-100)/100,0)+IF(K38="Si",(Listini!$J$122-100)/100,0)),0)+IF(G38&lt;&gt;0,VLOOKUP(G38,Listini!$A$115:$V$117,8,FALSE),0)+IF(H38&lt;&gt;0,$H38*Listini!$H$118,0)</f>
        <v>0</v>
      </c>
      <c r="P38" s="50">
        <f>IF(B38&lt;&gt;0,VLOOKUP(B38,Listini!$A$60:$V$90,11,FALSE)*(1+IF(I38="Si",(Listini!$M$120-100)/100,0)+IF(K38="Si",(Listini!$M$122-100)/100,0)),0)</f>
        <v>0</v>
      </c>
      <c r="Q38" s="244">
        <f>IF(B38&lt;&gt;0,(VLOOKUP(B38,Listini!$A$60:$V$90,12,FALSE)+IF(C38="Si",VLOOKUP(CONCATENATE(B38,"-AACF"),Listini!$A$91:$V$96,12,FALSE),0)+IF(D38="Si",VLOOKUP(CONCATENATE(B38,"-AFM"),Listini!$A$97:$V$102,12,FALSE),0)+IF(E38="Si",VLOOKUP(CONCATENATE(B38,"-VPN"),Listini!$A$102:$V$108,12,FALSE),0)+IF(F38="Si",VLOOKUP(CONCATENATE(B38,"-WAF"),Listini!$A$109:$V$114,12,FALSE),0))*(1+IF(I38="Si",(Listini!$N$120-100)/100,0)+IF(J38="Si",(Listini!$N$121-100)/100,0)+IF(K38="Si",(Listini!$N$122-100)/100,0)),0)+IF(G38&lt;&gt;0,VLOOKUP(G38,Listini!$A$115:$V$117,12,FALSE),0)+IF(H38&lt;&gt;0,$H38*Listini!$L$118,0)</f>
        <v>0</v>
      </c>
      <c r="R38" s="244">
        <f>IF(B38&lt;&gt;0,VLOOKUP(B38,Listini!$A$60:$V$90,15,FALSE)*(1+IF(I38="Si",(Listini!$Q$120-100)/100,0)+IF(K38="Si",(Listini!$Q$122-100)/100,0)),0)</f>
        <v>0</v>
      </c>
      <c r="S38" s="244">
        <f>IF(B38&lt;&gt;0,(VLOOKUP(B38,Listini!$A$60:$V$90,16,FALSE)+IF(C38="Si",VLOOKUP(CONCATENATE(B38,"-AACF"),Listini!$A$91:$V$96,16,FALSE),0)+IF(D38="Si",VLOOKUP(CONCATENATE(B38,"-AFM"),Listini!$A$97:$V$102,16,FALSE),0)+IF(E38="Si",VLOOKUP(CONCATENATE(B38,"-VPN"),Listini!$A$103:$V$108,16,FALSE),0)+IF(F38="Si",VLOOKUP(CONCATENATE(B38,"-WAF"),Listini!$A$109:$V$114,16,FALSE),0))*(1+IF(I38="Si",(Listini!$R$120-100)/100,0)+IF(J38="Si",(Listini!$R$121-100)/100,0)+IF(K38="Si",(Listini!$R$122-100)/100,0)),0)+IF(G38&lt;&gt;0,VLOOKUP(G38,Listini!$A$115:$V$117,16,FALSE),0)+IF(H38&lt;&gt;0,$H38*Listini!$P$118,0)</f>
        <v>0</v>
      </c>
      <c r="T38" s="244">
        <f>IF(B38&lt;&gt;0,VLOOKUP(B38,Listini!$A$60:$V$90,19,FALSE)*(1+IF(I38="Si",(Listini!$U$120-100)/100,0)+IF(K38="Si",(Listini!$U$122-100)/100,0)),0)</f>
        <v>0</v>
      </c>
      <c r="U38" s="244">
        <f>IF(B38&lt;&gt;0,(VLOOKUP(B38,Listini!$A$60:$V$90,20,FALSE)+IF(C38="Si",VLOOKUP(CONCATENATE(B38,"-AACF"),Listini!$A$91:$V$96,20,FALSE),0)+IF(D38="Si",VLOOKUP(CONCATENATE(B38,"-AFM"),Listini!$A$97:$V$102,20,FALSE),0)+IF(E38="Si",VLOOKUP(CONCATENATE(B38,"-VPN"),Listini!$A$103:$V$108,20,FALSE),0)+IF(F38="Si",VLOOKUP(CONCATENATE(B38,"-WAF"),Listini!$A$109:$V$114,20,FALSE),0))*(1+IF(I38="Si",(Listini!$V$120-100)/100,0)+IF(J38="Si",(Listini!$V$121-100)/100,0)+IF(K38="Si",(Listini!$V$122-100)/100,0)),0)+IF(G38&lt;&gt;0,VLOOKUP(G38,Listini!$A$115:$V$117,20,FALSE),0)+IF(H38&lt;&gt;0,$H38*Listini!$T$118,0)</f>
        <v>0</v>
      </c>
      <c r="V38" s="244">
        <f>IF(B38&lt;&gt;0,VLOOKUP(B38,'Listino Offerta'!$A$60:$V$90,3,FALSE)*(1+IF(I38="Si",('Listino Offerta'!$E$120-100)/100,0)+IF(K38="Si",('Listino Offerta'!$E$122-100)/100,0)),0)</f>
        <v>0</v>
      </c>
      <c r="W38" s="244">
        <f>IF(B38&lt;&gt;0,(VLOOKUP(B38,'Listino Offerta'!$A$60:$V$90,4,FALSE)+IF(C38="Si",VLOOKUP(CONCATENATE(B38,"-AACF"),'Listino Offerta'!$A$91:$V$96,4,FALSE),0)+IF(D38="Si",VLOOKUP(CONCATENATE(B38,"-AFM"),'Listino Offerta'!$A$97:$V$102,4,FALSE),0)+IF(E38="Si",VLOOKUP(CONCATENATE(B38,"-VPN"),'Listino Offerta'!$A$103:$V$108,4,FALSE),0)+IF(F38="Si",VLOOKUP(CONCATENATE(B38,"-WAF"),'Listino Offerta'!$A$109:$V$114,4,FALSE),0))*(1+IF(I38="Si",('Listino Offerta'!$F$120-100)/100,0)+IF(J38="Si",('Listino Offerta'!$F$121-100)/100,0)+IF(K38="Si",('Listino Offerta'!$F$122-100)/100,0)),0)+IF(G38&lt;&gt;0,VLOOKUP(G38,'Listino Offerta'!$A$115:$V$117,4,FALSE),0)+IF(H38&lt;&gt;0,$H38*'Listino Offerta'!$D$118,0)</f>
        <v>0</v>
      </c>
    </row>
    <row r="39" spans="1:23" s="244" customFormat="1" ht="12.75" customHeight="1">
      <c r="A39" s="241">
        <v>9</v>
      </c>
      <c r="B39" s="275">
        <f>IF('Servizi di Sicurezza Perimetr.'!D13&lt;&gt;"SCEN",'Servizi di Sicurezza Perimetr.'!D13,'Servizi di Trasporto Dati'!AF13)</f>
        <v>0</v>
      </c>
      <c r="C39" s="245">
        <f>'Servizi di Sicurezza Perimetr.'!E13</f>
        <v>0</v>
      </c>
      <c r="D39" s="245">
        <f>'Servizi di Sicurezza Perimetr.'!F13</f>
        <v>0</v>
      </c>
      <c r="E39" s="245">
        <f>'Servizi di Sicurezza Perimetr.'!G13</f>
        <v>0</v>
      </c>
      <c r="F39" s="245">
        <f>'Servizi di Sicurezza Perimetr.'!H13</f>
        <v>0</v>
      </c>
      <c r="G39" s="245">
        <f>'Servizi di Sicurezza Perimetr.'!I13</f>
        <v>0</v>
      </c>
      <c r="H39" s="245">
        <f>'Servizi di Sicurezza Perimetr.'!J13</f>
        <v>0</v>
      </c>
      <c r="I39" s="245" t="str">
        <f>IF(AND('Servizi di Sicurezza Perimetr.'!$K13="Si",'Servizi di Sicurezza Perimetr.'!$L13&lt;&gt;"Si"),"Si","")</f>
        <v/>
      </c>
      <c r="J39" s="245" t="str">
        <f>IF(AND('Servizi di Sicurezza Perimetr.'!$K13&lt;&gt;"Si",'Servizi di Sicurezza Perimetr.'!$L13="Si"),"Si","")</f>
        <v/>
      </c>
      <c r="K39" s="245" t="str">
        <f>IF(AND('Servizi di Sicurezza Perimetr.'!$K13="Si",'Servizi di Sicurezza Perimetr.'!$L13="Si"),"Si","")</f>
        <v/>
      </c>
      <c r="L39" s="50">
        <f>IF(B39&lt;&gt;0,VLOOKUP(B39,Listini!$A$60:$V$90,3,FALSE)*(1+IF(I39="Si",(Listini!$E$120-100)/100,0)+IF(K39="Si",(Listini!$E$122-100)/100,0)),0)</f>
        <v>0</v>
      </c>
      <c r="M39" s="50">
        <f>IF(B39&lt;&gt;0,(VLOOKUP(B39,Listini!$A$60:$V$90,4,FALSE)+IF(C39="Si",VLOOKUP(CONCATENATE(B39,"-AACF"),Listini!$A$91:$V$96,4,FALSE),0)+IF(D39="Si",VLOOKUP(CONCATENATE(B39,"-AFM"),Listini!$A$97:$V$102,4,FALSE),0)+IF(E39="Si",VLOOKUP(CONCATENATE(B39,"-VPN"),Listini!$A$103:$V$108,4,FALSE),0)+IF(F39="Si",VLOOKUP(CONCATENATE(B39,"-WAF"),Listini!$A$109:$V$114,4,FALSE),0))*(1+IF(I39="Si",(Listini!$F$120-100)/100,0)+IF(J39="Si",(Listini!$F$121-100)/100,0)+IF(K39="Si",(Listini!$F$122-100)/100,0)),0)+IF(G39&lt;&gt;0,VLOOKUP(G39,Listini!$A$115:$V$117,4,FALSE),0)+IF(H39&lt;&gt;0,$H39*Listini!$D$118,0)</f>
        <v>0</v>
      </c>
      <c r="N39" s="50">
        <f>IF(B39&lt;&gt;0,VLOOKUP(B39,Listini!$A$60:$V$90,7,FALSE)*(1+IF(I39="Si",(Listini!$I$120-100)/100,0)+IF(K39="Si",(Listini!$I$122-100)/100,0)),0)</f>
        <v>0</v>
      </c>
      <c r="O39" s="50">
        <f>IF(B39&lt;&gt;0,(VLOOKUP(B39,Listini!$A$60:$V$90,8,FALSE)+IF(C39="Si",VLOOKUP(CONCATENATE(B39,"-AACF"),Listini!$A$91:$V$96,8,FALSE),0)+IF(D39="Si",VLOOKUP(CONCATENATE(B39,"-AFM"),Listini!$A$97:$V$102,8,FALSE),0)+IF(E39="Si",VLOOKUP(CONCATENATE(B39,"-VPN"),Listini!$A$103:$V$108,8,FALSE),0)+IF(F39="Si",VLOOKUP(CONCATENATE(B39,"-WAF"),Listini!$A$109:$V$114,8,FALSE),0))*(1+IF(I39="Si",(Listini!$J$120-100)/100,0)+IF(J39="Si",(Listini!$J$121-100)/100,0)+IF(K39="Si",(Listini!$J$122-100)/100,0)),0)+IF(G39&lt;&gt;0,VLOOKUP(G39,Listini!$A$115:$V$117,8,FALSE),0)+IF(H39&lt;&gt;0,$H39*Listini!$H$118,0)</f>
        <v>0</v>
      </c>
      <c r="P39" s="50">
        <f>IF(B39&lt;&gt;0,VLOOKUP(B39,Listini!$A$60:$V$90,11,FALSE)*(1+IF(I39="Si",(Listini!$M$120-100)/100,0)+IF(K39="Si",(Listini!$M$122-100)/100,0)),0)</f>
        <v>0</v>
      </c>
      <c r="Q39" s="244">
        <f>IF(B39&lt;&gt;0,(VLOOKUP(B39,Listini!$A$60:$V$90,12,FALSE)+IF(C39="Si",VLOOKUP(CONCATENATE(B39,"-AACF"),Listini!$A$91:$V$96,12,FALSE),0)+IF(D39="Si",VLOOKUP(CONCATENATE(B39,"-AFM"),Listini!$A$97:$V$102,12,FALSE),0)+IF(E39="Si",VLOOKUP(CONCATENATE(B39,"-VPN"),Listini!$A$102:$V$108,12,FALSE),0)+IF(F39="Si",VLOOKUP(CONCATENATE(B39,"-WAF"),Listini!$A$109:$V$114,12,FALSE),0))*(1+IF(I39="Si",(Listini!$N$120-100)/100,0)+IF(J39="Si",(Listini!$N$121-100)/100,0)+IF(K39="Si",(Listini!$N$122-100)/100,0)),0)+IF(G39&lt;&gt;0,VLOOKUP(G39,Listini!$A$115:$V$117,12,FALSE),0)+IF(H39&lt;&gt;0,$H39*Listini!$L$118,0)</f>
        <v>0</v>
      </c>
      <c r="R39" s="244">
        <f>IF(B39&lt;&gt;0,VLOOKUP(B39,Listini!$A$60:$V$90,15,FALSE)*(1+IF(I39="Si",(Listini!$Q$120-100)/100,0)+IF(K39="Si",(Listini!$Q$122-100)/100,0)),0)</f>
        <v>0</v>
      </c>
      <c r="S39" s="244">
        <f>IF(B39&lt;&gt;0,(VLOOKUP(B39,Listini!$A$60:$V$90,16,FALSE)+IF(C39="Si",VLOOKUP(CONCATENATE(B39,"-AACF"),Listini!$A$91:$V$96,16,FALSE),0)+IF(D39="Si",VLOOKUP(CONCATENATE(B39,"-AFM"),Listini!$A$97:$V$102,16,FALSE),0)+IF(E39="Si",VLOOKUP(CONCATENATE(B39,"-VPN"),Listini!$A$103:$V$108,16,FALSE),0)+IF(F39="Si",VLOOKUP(CONCATENATE(B39,"-WAF"),Listini!$A$109:$V$114,16,FALSE),0))*(1+IF(I39="Si",(Listini!$R$120-100)/100,0)+IF(J39="Si",(Listini!$R$121-100)/100,0)+IF(K39="Si",(Listini!$R$122-100)/100,0)),0)+IF(G39&lt;&gt;0,VLOOKUP(G39,Listini!$A$115:$V$117,16,FALSE),0)+IF(H39&lt;&gt;0,$H39*Listini!$P$118,0)</f>
        <v>0</v>
      </c>
      <c r="T39" s="244">
        <f>IF(B39&lt;&gt;0,VLOOKUP(B39,Listini!$A$60:$V$90,19,FALSE)*(1+IF(I39="Si",(Listini!$U$120-100)/100,0)+IF(K39="Si",(Listini!$U$122-100)/100,0)),0)</f>
        <v>0</v>
      </c>
      <c r="U39" s="244">
        <f>IF(B39&lt;&gt;0,(VLOOKUP(B39,Listini!$A$60:$V$90,20,FALSE)+IF(C39="Si",VLOOKUP(CONCATENATE(B39,"-AACF"),Listini!$A$91:$V$96,20,FALSE),0)+IF(D39="Si",VLOOKUP(CONCATENATE(B39,"-AFM"),Listini!$A$97:$V$102,20,FALSE),0)+IF(E39="Si",VLOOKUP(CONCATENATE(B39,"-VPN"),Listini!$A$103:$V$108,20,FALSE),0)+IF(F39="Si",VLOOKUP(CONCATENATE(B39,"-WAF"),Listini!$A$109:$V$114,20,FALSE),0))*(1+IF(I39="Si",(Listini!$V$120-100)/100,0)+IF(J39="Si",(Listini!$V$121-100)/100,0)+IF(K39="Si",(Listini!$V$122-100)/100,0)),0)+IF(G39&lt;&gt;0,VLOOKUP(G39,Listini!$A$115:$V$117,20,FALSE),0)+IF(H39&lt;&gt;0,$H39*Listini!$T$118,0)</f>
        <v>0</v>
      </c>
      <c r="V39" s="244">
        <f>IF(B39&lt;&gt;0,VLOOKUP(B39,'Listino Offerta'!$A$60:$V$90,3,FALSE)*(1+IF(I39="Si",('Listino Offerta'!$E$120-100)/100,0)+IF(K39="Si",('Listino Offerta'!$E$122-100)/100,0)),0)</f>
        <v>0</v>
      </c>
      <c r="W39" s="244">
        <f>IF(B39&lt;&gt;0,(VLOOKUP(B39,'Listino Offerta'!$A$60:$V$90,4,FALSE)+IF(C39="Si",VLOOKUP(CONCATENATE(B39,"-AACF"),'Listino Offerta'!$A$91:$V$96,4,FALSE),0)+IF(D39="Si",VLOOKUP(CONCATENATE(B39,"-AFM"),'Listino Offerta'!$A$97:$V$102,4,FALSE),0)+IF(E39="Si",VLOOKUP(CONCATENATE(B39,"-VPN"),'Listino Offerta'!$A$103:$V$108,4,FALSE),0)+IF(F39="Si",VLOOKUP(CONCATENATE(B39,"-WAF"),'Listino Offerta'!$A$109:$V$114,4,FALSE),0))*(1+IF(I39="Si",('Listino Offerta'!$F$120-100)/100,0)+IF(J39="Si",('Listino Offerta'!$F$121-100)/100,0)+IF(K39="Si",('Listino Offerta'!$F$122-100)/100,0)),0)+IF(G39&lt;&gt;0,VLOOKUP(G39,'Listino Offerta'!$A$115:$V$117,4,FALSE),0)+IF(H39&lt;&gt;0,$H39*'Listino Offerta'!$D$118,0)</f>
        <v>0</v>
      </c>
    </row>
    <row r="40" spans="1:23" s="244" customFormat="1" ht="12.75" customHeight="1">
      <c r="A40" s="241">
        <v>10</v>
      </c>
      <c r="B40" s="275">
        <f>IF('Servizi di Sicurezza Perimetr.'!D14&lt;&gt;"SCEN",'Servizi di Sicurezza Perimetr.'!D14,'Servizi di Trasporto Dati'!AF14)</f>
        <v>0</v>
      </c>
      <c r="C40" s="245">
        <f>'Servizi di Sicurezza Perimetr.'!E14</f>
        <v>0</v>
      </c>
      <c r="D40" s="245">
        <f>'Servizi di Sicurezza Perimetr.'!F14</f>
        <v>0</v>
      </c>
      <c r="E40" s="245">
        <f>'Servizi di Sicurezza Perimetr.'!G14</f>
        <v>0</v>
      </c>
      <c r="F40" s="245">
        <f>'Servizi di Sicurezza Perimetr.'!H14</f>
        <v>0</v>
      </c>
      <c r="G40" s="245">
        <f>'Servizi di Sicurezza Perimetr.'!I14</f>
        <v>0</v>
      </c>
      <c r="H40" s="245">
        <f>'Servizi di Sicurezza Perimetr.'!J14</f>
        <v>0</v>
      </c>
      <c r="I40" s="245" t="str">
        <f>IF(AND('Servizi di Sicurezza Perimetr.'!$K14="Si",'Servizi di Sicurezza Perimetr.'!$L14&lt;&gt;"Si"),"Si","")</f>
        <v/>
      </c>
      <c r="J40" s="245" t="str">
        <f>IF(AND('Servizi di Sicurezza Perimetr.'!$K14&lt;&gt;"Si",'Servizi di Sicurezza Perimetr.'!$L14="Si"),"Si","")</f>
        <v/>
      </c>
      <c r="K40" s="245" t="str">
        <f>IF(AND('Servizi di Sicurezza Perimetr.'!$K14="Si",'Servizi di Sicurezza Perimetr.'!$L14="Si"),"Si","")</f>
        <v/>
      </c>
      <c r="L40" s="50">
        <f>IF(B40&lt;&gt;0,VLOOKUP(B40,Listini!$A$60:$V$90,3,FALSE)*(1+IF(I40="Si",(Listini!$E$120-100)/100,0)+IF(K40="Si",(Listini!$E$122-100)/100,0)),0)</f>
        <v>0</v>
      </c>
      <c r="M40" s="50">
        <f>IF(B40&lt;&gt;0,(VLOOKUP(B40,Listini!$A$60:$V$90,4,FALSE)+IF(C40="Si",VLOOKUP(CONCATENATE(B40,"-AACF"),Listini!$A$91:$V$96,4,FALSE),0)+IF(D40="Si",VLOOKUP(CONCATENATE(B40,"-AFM"),Listini!$A$97:$V$102,4,FALSE),0)+IF(E40="Si",VLOOKUP(CONCATENATE(B40,"-VPN"),Listini!$A$103:$V$108,4,FALSE),0)+IF(F40="Si",VLOOKUP(CONCATENATE(B40,"-WAF"),Listini!$A$109:$V$114,4,FALSE),0))*(1+IF(I40="Si",(Listini!$F$120-100)/100,0)+IF(J40="Si",(Listini!$F$121-100)/100,0)+IF(K40="Si",(Listini!$F$122-100)/100,0)),0)+IF(G40&lt;&gt;0,VLOOKUP(G40,Listini!$A$115:$V$117,4,FALSE),0)+IF(H40&lt;&gt;0,$H40*Listini!$D$118,0)</f>
        <v>0</v>
      </c>
      <c r="N40" s="50">
        <f>IF(B40&lt;&gt;0,VLOOKUP(B40,Listini!$A$60:$V$90,7,FALSE)*(1+IF(I40="Si",(Listini!$I$120-100)/100,0)+IF(K40="Si",(Listini!$I$122-100)/100,0)),0)</f>
        <v>0</v>
      </c>
      <c r="O40" s="50">
        <f>IF(B40&lt;&gt;0,(VLOOKUP(B40,Listini!$A$60:$V$90,8,FALSE)+IF(C40="Si",VLOOKUP(CONCATENATE(B40,"-AACF"),Listini!$A$91:$V$96,8,FALSE),0)+IF(D40="Si",VLOOKUP(CONCATENATE(B40,"-AFM"),Listini!$A$97:$V$102,8,FALSE),0)+IF(E40="Si",VLOOKUP(CONCATENATE(B40,"-VPN"),Listini!$A$103:$V$108,8,FALSE),0)+IF(F40="Si",VLOOKUP(CONCATENATE(B40,"-WAF"),Listini!$A$109:$V$114,8,FALSE),0))*(1+IF(I40="Si",(Listini!$J$120-100)/100,0)+IF(J40="Si",(Listini!$J$121-100)/100,0)+IF(K40="Si",(Listini!$J$122-100)/100,0)),0)+IF(G40&lt;&gt;0,VLOOKUP(G40,Listini!$A$115:$V$117,8,FALSE),0)+IF(H40&lt;&gt;0,$H40*Listini!$H$118,0)</f>
        <v>0</v>
      </c>
      <c r="P40" s="50">
        <f>IF(B40&lt;&gt;0,VLOOKUP(B40,Listini!$A$60:$V$90,11,FALSE)*(1+IF(I40="Si",(Listini!$M$120-100)/100,0)+IF(K40="Si",(Listini!$M$122-100)/100,0)),0)</f>
        <v>0</v>
      </c>
      <c r="Q40" s="244">
        <f>IF(B40&lt;&gt;0,(VLOOKUP(B40,Listini!$A$60:$V$90,12,FALSE)+IF(C40="Si",VLOOKUP(CONCATENATE(B40,"-AACF"),Listini!$A$91:$V$96,12,FALSE),0)+IF(D40="Si",VLOOKUP(CONCATENATE(B40,"-AFM"),Listini!$A$97:$V$102,12,FALSE),0)+IF(E40="Si",VLOOKUP(CONCATENATE(B40,"-VPN"),Listini!$A$102:$V$108,12,FALSE),0)+IF(F40="Si",VLOOKUP(CONCATENATE(B40,"-WAF"),Listini!$A$109:$V$114,12,FALSE),0))*(1+IF(I40="Si",(Listini!$N$120-100)/100,0)+IF(J40="Si",(Listini!$N$121-100)/100,0)+IF(K40="Si",(Listini!$N$122-100)/100,0)),0)+IF(G40&lt;&gt;0,VLOOKUP(G40,Listini!$A$115:$V$117,12,FALSE),0)+IF(H40&lt;&gt;0,$H40*Listini!$L$118,0)</f>
        <v>0</v>
      </c>
      <c r="R40" s="244">
        <f>IF(B40&lt;&gt;0,VLOOKUP(B40,Listini!$A$60:$V$90,15,FALSE)*(1+IF(I40="Si",(Listini!$Q$120-100)/100,0)+IF(K40="Si",(Listini!$Q$122-100)/100,0)),0)</f>
        <v>0</v>
      </c>
      <c r="S40" s="244">
        <f>IF(B40&lt;&gt;0,(VLOOKUP(B40,Listini!$A$60:$V$90,16,FALSE)+IF(C40="Si",VLOOKUP(CONCATENATE(B40,"-AACF"),Listini!$A$91:$V$96,16,FALSE),0)+IF(D40="Si",VLOOKUP(CONCATENATE(B40,"-AFM"),Listini!$A$97:$V$102,16,FALSE),0)+IF(E40="Si",VLOOKUP(CONCATENATE(B40,"-VPN"),Listini!$A$103:$V$108,16,FALSE),0)+IF(F40="Si",VLOOKUP(CONCATENATE(B40,"-WAF"),Listini!$A$109:$V$114,16,FALSE),0))*(1+IF(I40="Si",(Listini!$R$120-100)/100,0)+IF(J40="Si",(Listini!$R$121-100)/100,0)+IF(K40="Si",(Listini!$R$122-100)/100,0)),0)+IF(G40&lt;&gt;0,VLOOKUP(G40,Listini!$A$115:$V$117,16,FALSE),0)+IF(H40&lt;&gt;0,$H40*Listini!$P$118,0)</f>
        <v>0</v>
      </c>
      <c r="T40" s="244">
        <f>IF(B40&lt;&gt;0,VLOOKUP(B40,Listini!$A$60:$V$90,19,FALSE)*(1+IF(I40="Si",(Listini!$U$120-100)/100,0)+IF(K40="Si",(Listini!$U$122-100)/100,0)),0)</f>
        <v>0</v>
      </c>
      <c r="U40" s="244">
        <f>IF(B40&lt;&gt;0,(VLOOKUP(B40,Listini!$A$60:$V$90,20,FALSE)+IF(C40="Si",VLOOKUP(CONCATENATE(B40,"-AACF"),Listini!$A$91:$V$96,20,FALSE),0)+IF(D40="Si",VLOOKUP(CONCATENATE(B40,"-AFM"),Listini!$A$97:$V$102,20,FALSE),0)+IF(E40="Si",VLOOKUP(CONCATENATE(B40,"-VPN"),Listini!$A$103:$V$108,20,FALSE),0)+IF(F40="Si",VLOOKUP(CONCATENATE(B40,"-WAF"),Listini!$A$109:$V$114,20,FALSE),0))*(1+IF(I40="Si",(Listini!$V$120-100)/100,0)+IF(J40="Si",(Listini!$V$121-100)/100,0)+IF(K40="Si",(Listini!$V$122-100)/100,0)),0)+IF(G40&lt;&gt;0,VLOOKUP(G40,Listini!$A$115:$V$117,20,FALSE),0)+IF(H40&lt;&gt;0,$H40*Listini!$T$118,0)</f>
        <v>0</v>
      </c>
      <c r="V40" s="244">
        <f>IF(B40&lt;&gt;0,VLOOKUP(B40,'Listino Offerta'!$A$60:$V$90,3,FALSE)*(1+IF(I40="Si",('Listino Offerta'!$E$120-100)/100,0)+IF(K40="Si",('Listino Offerta'!$E$122-100)/100,0)),0)</f>
        <v>0</v>
      </c>
      <c r="W40" s="244">
        <f>IF(B40&lt;&gt;0,(VLOOKUP(B40,'Listino Offerta'!$A$60:$V$90,4,FALSE)+IF(C40="Si",VLOOKUP(CONCATENATE(B40,"-AACF"),'Listino Offerta'!$A$91:$V$96,4,FALSE),0)+IF(D40="Si",VLOOKUP(CONCATENATE(B40,"-AFM"),'Listino Offerta'!$A$97:$V$102,4,FALSE),0)+IF(E40="Si",VLOOKUP(CONCATENATE(B40,"-VPN"),'Listino Offerta'!$A$103:$V$108,4,FALSE),0)+IF(F40="Si",VLOOKUP(CONCATENATE(B40,"-WAF"),'Listino Offerta'!$A$109:$V$114,4,FALSE),0))*(1+IF(I40="Si",('Listino Offerta'!$F$120-100)/100,0)+IF(J40="Si",('Listino Offerta'!$F$121-100)/100,0)+IF(K40="Si",('Listino Offerta'!$F$122-100)/100,0)),0)+IF(G40&lt;&gt;0,VLOOKUP(G40,'Listino Offerta'!$A$115:$V$117,4,FALSE),0)+IF(H40&lt;&gt;0,$H40*'Listino Offerta'!$D$118,0)</f>
        <v>0</v>
      </c>
    </row>
    <row r="41" spans="1:23" s="244" customFormat="1" ht="12.75" customHeight="1">
      <c r="A41" s="241">
        <v>11</v>
      </c>
      <c r="B41" s="275">
        <f>IF('Servizi di Sicurezza Perimetr.'!D15&lt;&gt;"SCEN",'Servizi di Sicurezza Perimetr.'!D15,'Servizi di Trasporto Dati'!AF15)</f>
        <v>0</v>
      </c>
      <c r="C41" s="245">
        <f>'Servizi di Sicurezza Perimetr.'!E15</f>
        <v>0</v>
      </c>
      <c r="D41" s="245">
        <f>'Servizi di Sicurezza Perimetr.'!F15</f>
        <v>0</v>
      </c>
      <c r="E41" s="245">
        <f>'Servizi di Sicurezza Perimetr.'!G15</f>
        <v>0</v>
      </c>
      <c r="F41" s="245">
        <f>'Servizi di Sicurezza Perimetr.'!H15</f>
        <v>0</v>
      </c>
      <c r="G41" s="245">
        <f>'Servizi di Sicurezza Perimetr.'!I15</f>
        <v>0</v>
      </c>
      <c r="H41" s="245">
        <f>'Servizi di Sicurezza Perimetr.'!J15</f>
        <v>0</v>
      </c>
      <c r="I41" s="245" t="str">
        <f>IF(AND('Servizi di Sicurezza Perimetr.'!$K15="Si",'Servizi di Sicurezza Perimetr.'!$L15&lt;&gt;"Si"),"Si","")</f>
        <v/>
      </c>
      <c r="J41" s="245" t="str">
        <f>IF(AND('Servizi di Sicurezza Perimetr.'!$K15&lt;&gt;"Si",'Servizi di Sicurezza Perimetr.'!$L15="Si"),"Si","")</f>
        <v/>
      </c>
      <c r="K41" s="245" t="str">
        <f>IF(AND('Servizi di Sicurezza Perimetr.'!$K15="Si",'Servizi di Sicurezza Perimetr.'!$L15="Si"),"Si","")</f>
        <v/>
      </c>
      <c r="L41" s="50">
        <f>IF(B41&lt;&gt;0,VLOOKUP(B41,Listini!$A$60:$V$90,3,FALSE)*(1+IF(I41="Si",(Listini!$E$120-100)/100,0)+IF(K41="Si",(Listini!$E$122-100)/100,0)),0)</f>
        <v>0</v>
      </c>
      <c r="M41" s="50">
        <f>IF(B41&lt;&gt;0,(VLOOKUP(B41,Listini!$A$60:$V$90,4,FALSE)+IF(C41="Si",VLOOKUP(CONCATENATE(B41,"-AACF"),Listini!$A$91:$V$96,4,FALSE),0)+IF(D41="Si",VLOOKUP(CONCATENATE(B41,"-AFM"),Listini!$A$97:$V$102,4,FALSE),0)+IF(E41="Si",VLOOKUP(CONCATENATE(B41,"-VPN"),Listini!$A$103:$V$108,4,FALSE),0)+IF(F41="Si",VLOOKUP(CONCATENATE(B41,"-WAF"),Listini!$A$109:$V$114,4,FALSE),0))*(1+IF(I41="Si",(Listini!$F$120-100)/100,0)+IF(J41="Si",(Listini!$F$121-100)/100,0)+IF(K41="Si",(Listini!$F$122-100)/100,0)),0)+IF(G41&lt;&gt;0,VLOOKUP(G41,Listini!$A$115:$V$117,4,FALSE),0)+IF(H41&lt;&gt;0,$H41*Listini!$D$118,0)</f>
        <v>0</v>
      </c>
      <c r="N41" s="50">
        <f>IF(B41&lt;&gt;0,VLOOKUP(B41,Listini!$A$60:$V$90,7,FALSE)*(1+IF(I41="Si",(Listini!$I$120-100)/100,0)+IF(K41="Si",(Listini!$I$122-100)/100,0)),0)</f>
        <v>0</v>
      </c>
      <c r="O41" s="50">
        <f>IF(B41&lt;&gt;0,(VLOOKUP(B41,Listini!$A$60:$V$90,8,FALSE)+IF(C41="Si",VLOOKUP(CONCATENATE(B41,"-AACF"),Listini!$A$91:$V$96,8,FALSE),0)+IF(D41="Si",VLOOKUP(CONCATENATE(B41,"-AFM"),Listini!$A$97:$V$102,8,FALSE),0)+IF(E41="Si",VLOOKUP(CONCATENATE(B41,"-VPN"),Listini!$A$103:$V$108,8,FALSE),0)+IF(F41="Si",VLOOKUP(CONCATENATE(B41,"-WAF"),Listini!$A$109:$V$114,8,FALSE),0))*(1+IF(I41="Si",(Listini!$J$120-100)/100,0)+IF(J41="Si",(Listini!$J$121-100)/100,0)+IF(K41="Si",(Listini!$J$122-100)/100,0)),0)+IF(G41&lt;&gt;0,VLOOKUP(G41,Listini!$A$115:$V$117,8,FALSE),0)+IF(H41&lt;&gt;0,$H41*Listini!$H$118,0)</f>
        <v>0</v>
      </c>
      <c r="P41" s="50">
        <f>IF(B41&lt;&gt;0,VLOOKUP(B41,Listini!$A$60:$V$90,11,FALSE)*(1+IF(I41="Si",(Listini!$M$120-100)/100,0)+IF(K41="Si",(Listini!$M$122-100)/100,0)),0)</f>
        <v>0</v>
      </c>
      <c r="Q41" s="244">
        <f>IF(B41&lt;&gt;0,(VLOOKUP(B41,Listini!$A$60:$V$90,12,FALSE)+IF(C41="Si",VLOOKUP(CONCATENATE(B41,"-AACF"),Listini!$A$91:$V$96,12,FALSE),0)+IF(D41="Si",VLOOKUP(CONCATENATE(B41,"-AFM"),Listini!$A$97:$V$102,12,FALSE),0)+IF(E41="Si",VLOOKUP(CONCATENATE(B41,"-VPN"),Listini!$A$102:$V$108,12,FALSE),0)+IF(F41="Si",VLOOKUP(CONCATENATE(B41,"-WAF"),Listini!$A$109:$V$114,12,FALSE),0))*(1+IF(I41="Si",(Listini!$N$120-100)/100,0)+IF(J41="Si",(Listini!$N$121-100)/100,0)+IF(K41="Si",(Listini!$N$122-100)/100,0)),0)+IF(G41&lt;&gt;0,VLOOKUP(G41,Listini!$A$115:$V$117,12,FALSE),0)+IF(H41&lt;&gt;0,$H41*Listini!$L$118,0)</f>
        <v>0</v>
      </c>
      <c r="R41" s="244">
        <f>IF(B41&lt;&gt;0,VLOOKUP(B41,Listini!$A$60:$V$90,15,FALSE)*(1+IF(I41="Si",(Listini!$Q$120-100)/100,0)+IF(K41="Si",(Listini!$Q$122-100)/100,0)),0)</f>
        <v>0</v>
      </c>
      <c r="S41" s="244">
        <f>IF(B41&lt;&gt;0,(VLOOKUP(B41,Listini!$A$60:$V$90,16,FALSE)+IF(C41="Si",VLOOKUP(CONCATENATE(B41,"-AACF"),Listini!$A$91:$V$96,16,FALSE),0)+IF(D41="Si",VLOOKUP(CONCATENATE(B41,"-AFM"),Listini!$A$97:$V$102,16,FALSE),0)+IF(E41="Si",VLOOKUP(CONCATENATE(B41,"-VPN"),Listini!$A$103:$V$108,16,FALSE),0)+IF(F41="Si",VLOOKUP(CONCATENATE(B41,"-WAF"),Listini!$A$109:$V$114,16,FALSE),0))*(1+IF(I41="Si",(Listini!$R$120-100)/100,0)+IF(J41="Si",(Listini!$R$121-100)/100,0)+IF(K41="Si",(Listini!$R$122-100)/100,0)),0)+IF(G41&lt;&gt;0,VLOOKUP(G41,Listini!$A$115:$V$117,16,FALSE),0)+IF(H41&lt;&gt;0,$H41*Listini!$P$118,0)</f>
        <v>0</v>
      </c>
      <c r="T41" s="244">
        <f>IF(B41&lt;&gt;0,VLOOKUP(B41,Listini!$A$60:$V$90,19,FALSE)*(1+IF(I41="Si",(Listini!$U$120-100)/100,0)+IF(K41="Si",(Listini!$U$122-100)/100,0)),0)</f>
        <v>0</v>
      </c>
      <c r="U41" s="244">
        <f>IF(B41&lt;&gt;0,(VLOOKUP(B41,Listini!$A$60:$V$90,20,FALSE)+IF(C41="Si",VLOOKUP(CONCATENATE(B41,"-AACF"),Listini!$A$91:$V$96,20,FALSE),0)+IF(D41="Si",VLOOKUP(CONCATENATE(B41,"-AFM"),Listini!$A$97:$V$102,20,FALSE),0)+IF(E41="Si",VLOOKUP(CONCATENATE(B41,"-VPN"),Listini!$A$103:$V$108,20,FALSE),0)+IF(F41="Si",VLOOKUP(CONCATENATE(B41,"-WAF"),Listini!$A$109:$V$114,20,FALSE),0))*(1+IF(I41="Si",(Listini!$V$120-100)/100,0)+IF(J41="Si",(Listini!$V$121-100)/100,0)+IF(K41="Si",(Listini!$V$122-100)/100,0)),0)+IF(G41&lt;&gt;0,VLOOKUP(G41,Listini!$A$115:$V$117,20,FALSE),0)+IF(H41&lt;&gt;0,$H41*Listini!$T$118,0)</f>
        <v>0</v>
      </c>
      <c r="V41" s="244">
        <f>IF(B41&lt;&gt;0,VLOOKUP(B41,'Listino Offerta'!$A$60:$V$90,3,FALSE)*(1+IF(I41="Si",('Listino Offerta'!$E$120-100)/100,0)+IF(K41="Si",('Listino Offerta'!$E$122-100)/100,0)),0)</f>
        <v>0</v>
      </c>
      <c r="W41" s="244">
        <f>IF(B41&lt;&gt;0,(VLOOKUP(B41,'Listino Offerta'!$A$60:$V$90,4,FALSE)+IF(C41="Si",VLOOKUP(CONCATENATE(B41,"-AACF"),'Listino Offerta'!$A$91:$V$96,4,FALSE),0)+IF(D41="Si",VLOOKUP(CONCATENATE(B41,"-AFM"),'Listino Offerta'!$A$97:$V$102,4,FALSE),0)+IF(E41="Si",VLOOKUP(CONCATENATE(B41,"-VPN"),'Listino Offerta'!$A$103:$V$108,4,FALSE),0)+IF(F41="Si",VLOOKUP(CONCATENATE(B41,"-WAF"),'Listino Offerta'!$A$109:$V$114,4,FALSE),0))*(1+IF(I41="Si",('Listino Offerta'!$F$120-100)/100,0)+IF(J41="Si",('Listino Offerta'!$F$121-100)/100,0)+IF(K41="Si",('Listino Offerta'!$F$122-100)/100,0)),0)+IF(G41&lt;&gt;0,VLOOKUP(G41,'Listino Offerta'!$A$115:$V$117,4,FALSE),0)+IF(H41&lt;&gt;0,$H41*'Listino Offerta'!$D$118,0)</f>
        <v>0</v>
      </c>
    </row>
    <row r="42" spans="1:23" s="244" customFormat="1" ht="12.75" customHeight="1">
      <c r="A42" s="241">
        <v>12</v>
      </c>
      <c r="B42" s="275">
        <f>IF('Servizi di Sicurezza Perimetr.'!D16&lt;&gt;"SCEN",'Servizi di Sicurezza Perimetr.'!D16,'Servizi di Trasporto Dati'!AF16)</f>
        <v>0</v>
      </c>
      <c r="C42" s="245">
        <f>'Servizi di Sicurezza Perimetr.'!E16</f>
        <v>0</v>
      </c>
      <c r="D42" s="245">
        <f>'Servizi di Sicurezza Perimetr.'!F16</f>
        <v>0</v>
      </c>
      <c r="E42" s="245">
        <f>'Servizi di Sicurezza Perimetr.'!G16</f>
        <v>0</v>
      </c>
      <c r="F42" s="245">
        <f>'Servizi di Sicurezza Perimetr.'!H16</f>
        <v>0</v>
      </c>
      <c r="G42" s="245">
        <f>'Servizi di Sicurezza Perimetr.'!I16</f>
        <v>0</v>
      </c>
      <c r="H42" s="245">
        <f>'Servizi di Sicurezza Perimetr.'!J16</f>
        <v>0</v>
      </c>
      <c r="I42" s="245" t="str">
        <f>IF(AND('Servizi di Sicurezza Perimetr.'!$K16="Si",'Servizi di Sicurezza Perimetr.'!$L16&lt;&gt;"Si"),"Si","")</f>
        <v/>
      </c>
      <c r="J42" s="245" t="str">
        <f>IF(AND('Servizi di Sicurezza Perimetr.'!$K16&lt;&gt;"Si",'Servizi di Sicurezza Perimetr.'!$L16="Si"),"Si","")</f>
        <v/>
      </c>
      <c r="K42" s="245" t="str">
        <f>IF(AND('Servizi di Sicurezza Perimetr.'!$K16="Si",'Servizi di Sicurezza Perimetr.'!$L16="Si"),"Si","")</f>
        <v/>
      </c>
      <c r="L42" s="50">
        <f>IF(B42&lt;&gt;0,VLOOKUP(B42,Listini!$A$60:$V$90,3,FALSE)*(1+IF(I42="Si",(Listini!$E$120-100)/100,0)+IF(K42="Si",(Listini!$E$122-100)/100,0)),0)</f>
        <v>0</v>
      </c>
      <c r="M42" s="50">
        <f>IF(B42&lt;&gt;0,(VLOOKUP(B42,Listini!$A$60:$V$90,4,FALSE)+IF(C42="Si",VLOOKUP(CONCATENATE(B42,"-AACF"),Listini!$A$91:$V$96,4,FALSE),0)+IF(D42="Si",VLOOKUP(CONCATENATE(B42,"-AFM"),Listini!$A$97:$V$102,4,FALSE),0)+IF(E42="Si",VLOOKUP(CONCATENATE(B42,"-VPN"),Listini!$A$103:$V$108,4,FALSE),0)+IF(F42="Si",VLOOKUP(CONCATENATE(B42,"-WAF"),Listini!$A$109:$V$114,4,FALSE),0))*(1+IF(I42="Si",(Listini!$F$120-100)/100,0)+IF(J42="Si",(Listini!$F$121-100)/100,0)+IF(K42="Si",(Listini!$F$122-100)/100,0)),0)+IF(G42&lt;&gt;0,VLOOKUP(G42,Listini!$A$115:$V$117,4,FALSE),0)+IF(H42&lt;&gt;0,$H42*Listini!$D$118,0)</f>
        <v>0</v>
      </c>
      <c r="N42" s="50">
        <f>IF(B42&lt;&gt;0,VLOOKUP(B42,Listini!$A$60:$V$90,7,FALSE)*(1+IF(I42="Si",(Listini!$I$120-100)/100,0)+IF(K42="Si",(Listini!$I$122-100)/100,0)),0)</f>
        <v>0</v>
      </c>
      <c r="O42" s="50">
        <f>IF(B42&lt;&gt;0,(VLOOKUP(B42,Listini!$A$60:$V$90,8,FALSE)+IF(C42="Si",VLOOKUP(CONCATENATE(B42,"-AACF"),Listini!$A$91:$V$96,8,FALSE),0)+IF(D42="Si",VLOOKUP(CONCATENATE(B42,"-AFM"),Listini!$A$97:$V$102,8,FALSE),0)+IF(E42="Si",VLOOKUP(CONCATENATE(B42,"-VPN"),Listini!$A$103:$V$108,8,FALSE),0)+IF(F42="Si",VLOOKUP(CONCATENATE(B42,"-WAF"),Listini!$A$109:$V$114,8,FALSE),0))*(1+IF(I42="Si",(Listini!$J$120-100)/100,0)+IF(J42="Si",(Listini!$J$121-100)/100,0)+IF(K42="Si",(Listini!$J$122-100)/100,0)),0)+IF(G42&lt;&gt;0,VLOOKUP(G42,Listini!$A$115:$V$117,8,FALSE),0)+IF(H42&lt;&gt;0,$H42*Listini!$H$118,0)</f>
        <v>0</v>
      </c>
      <c r="P42" s="50">
        <f>IF(B42&lt;&gt;0,VLOOKUP(B42,Listini!$A$60:$V$90,11,FALSE)*(1+IF(I42="Si",(Listini!$M$120-100)/100,0)+IF(K42="Si",(Listini!$M$122-100)/100,0)),0)</f>
        <v>0</v>
      </c>
      <c r="Q42" s="244">
        <f>IF(B42&lt;&gt;0,(VLOOKUP(B42,Listini!$A$60:$V$90,12,FALSE)+IF(C42="Si",VLOOKUP(CONCATENATE(B42,"-AACF"),Listini!$A$91:$V$96,12,FALSE),0)+IF(D42="Si",VLOOKUP(CONCATENATE(B42,"-AFM"),Listini!$A$97:$V$102,12,FALSE),0)+IF(E42="Si",VLOOKUP(CONCATENATE(B42,"-VPN"),Listini!$A$102:$V$108,12,FALSE),0)+IF(F42="Si",VLOOKUP(CONCATENATE(B42,"-WAF"),Listini!$A$109:$V$114,12,FALSE),0))*(1+IF(I42="Si",(Listini!$N$120-100)/100,0)+IF(J42="Si",(Listini!$N$121-100)/100,0)+IF(K42="Si",(Listini!$N$122-100)/100,0)),0)+IF(G42&lt;&gt;0,VLOOKUP(G42,Listini!$A$115:$V$117,12,FALSE),0)+IF(H42&lt;&gt;0,$H42*Listini!$L$118,0)</f>
        <v>0</v>
      </c>
      <c r="R42" s="244">
        <f>IF(B42&lt;&gt;0,VLOOKUP(B42,Listini!$A$60:$V$90,15,FALSE)*(1+IF(I42="Si",(Listini!$Q$120-100)/100,0)+IF(K42="Si",(Listini!$Q$122-100)/100,0)),0)</f>
        <v>0</v>
      </c>
      <c r="S42" s="244">
        <f>IF(B42&lt;&gt;0,(VLOOKUP(B42,Listini!$A$60:$V$90,16,FALSE)+IF(C42="Si",VLOOKUP(CONCATENATE(B42,"-AACF"),Listini!$A$91:$V$96,16,FALSE),0)+IF(D42="Si",VLOOKUP(CONCATENATE(B42,"-AFM"),Listini!$A$97:$V$102,16,FALSE),0)+IF(E42="Si",VLOOKUP(CONCATENATE(B42,"-VPN"),Listini!$A$103:$V$108,16,FALSE),0)+IF(F42="Si",VLOOKUP(CONCATENATE(B42,"-WAF"),Listini!$A$109:$V$114,16,FALSE),0))*(1+IF(I42="Si",(Listini!$R$120-100)/100,0)+IF(J42="Si",(Listini!$R$121-100)/100,0)+IF(K42="Si",(Listini!$R$122-100)/100,0)),0)+IF(G42&lt;&gt;0,VLOOKUP(G42,Listini!$A$115:$V$117,16,FALSE),0)+IF(H42&lt;&gt;0,$H42*Listini!$P$118,0)</f>
        <v>0</v>
      </c>
      <c r="T42" s="244">
        <f>IF(B42&lt;&gt;0,VLOOKUP(B42,Listini!$A$60:$V$90,19,FALSE)*(1+IF(I42="Si",(Listini!$U$120-100)/100,0)+IF(K42="Si",(Listini!$U$122-100)/100,0)),0)</f>
        <v>0</v>
      </c>
      <c r="U42" s="244">
        <f>IF(B42&lt;&gt;0,(VLOOKUP(B42,Listini!$A$60:$V$90,20,FALSE)+IF(C42="Si",VLOOKUP(CONCATENATE(B42,"-AACF"),Listini!$A$91:$V$96,20,FALSE),0)+IF(D42="Si",VLOOKUP(CONCATENATE(B42,"-AFM"),Listini!$A$97:$V$102,20,FALSE),0)+IF(E42="Si",VLOOKUP(CONCATENATE(B42,"-VPN"),Listini!$A$103:$V$108,20,FALSE),0)+IF(F42="Si",VLOOKUP(CONCATENATE(B42,"-WAF"),Listini!$A$109:$V$114,20,FALSE),0))*(1+IF(I42="Si",(Listini!$V$120-100)/100,0)+IF(J42="Si",(Listini!$V$121-100)/100,0)+IF(K42="Si",(Listini!$V$122-100)/100,0)),0)+IF(G42&lt;&gt;0,VLOOKUP(G42,Listini!$A$115:$V$117,20,FALSE),0)+IF(H42&lt;&gt;0,$H42*Listini!$T$118,0)</f>
        <v>0</v>
      </c>
      <c r="V42" s="244">
        <f>IF(B42&lt;&gt;0,VLOOKUP(B42,'Listino Offerta'!$A$60:$V$90,3,FALSE)*(1+IF(I42="Si",('Listino Offerta'!$E$120-100)/100,0)+IF(K42="Si",('Listino Offerta'!$E$122-100)/100,0)),0)</f>
        <v>0</v>
      </c>
      <c r="W42" s="244">
        <f>IF(B42&lt;&gt;0,(VLOOKUP(B42,'Listino Offerta'!$A$60:$V$90,4,FALSE)+IF(C42="Si",VLOOKUP(CONCATENATE(B42,"-AACF"),'Listino Offerta'!$A$91:$V$96,4,FALSE),0)+IF(D42="Si",VLOOKUP(CONCATENATE(B42,"-AFM"),'Listino Offerta'!$A$97:$V$102,4,FALSE),0)+IF(E42="Si",VLOOKUP(CONCATENATE(B42,"-VPN"),'Listino Offerta'!$A$103:$V$108,4,FALSE),0)+IF(F42="Si",VLOOKUP(CONCATENATE(B42,"-WAF"),'Listino Offerta'!$A$109:$V$114,4,FALSE),0))*(1+IF(I42="Si",('Listino Offerta'!$F$120-100)/100,0)+IF(J42="Si",('Listino Offerta'!$F$121-100)/100,0)+IF(K42="Si",('Listino Offerta'!$F$122-100)/100,0)),0)+IF(G42&lt;&gt;0,VLOOKUP(G42,'Listino Offerta'!$A$115:$V$117,4,FALSE),0)+IF(H42&lt;&gt;0,$H42*'Listino Offerta'!$D$118,0)</f>
        <v>0</v>
      </c>
    </row>
    <row r="43" spans="1:23" s="244" customFormat="1" ht="12.75" customHeight="1">
      <c r="A43" s="241">
        <v>13</v>
      </c>
      <c r="B43" s="275">
        <f>IF('Servizi di Sicurezza Perimetr.'!D17&lt;&gt;"SCEN",'Servizi di Sicurezza Perimetr.'!D17,'Servizi di Trasporto Dati'!AF17)</f>
        <v>0</v>
      </c>
      <c r="C43" s="245">
        <f>'Servizi di Sicurezza Perimetr.'!E17</f>
        <v>0</v>
      </c>
      <c r="D43" s="245">
        <f>'Servizi di Sicurezza Perimetr.'!F17</f>
        <v>0</v>
      </c>
      <c r="E43" s="245">
        <f>'Servizi di Sicurezza Perimetr.'!G17</f>
        <v>0</v>
      </c>
      <c r="F43" s="245">
        <f>'Servizi di Sicurezza Perimetr.'!H17</f>
        <v>0</v>
      </c>
      <c r="G43" s="245">
        <f>'Servizi di Sicurezza Perimetr.'!I17</f>
        <v>0</v>
      </c>
      <c r="H43" s="245">
        <f>'Servizi di Sicurezza Perimetr.'!J17</f>
        <v>0</v>
      </c>
      <c r="I43" s="245" t="str">
        <f>IF(AND('Servizi di Sicurezza Perimetr.'!$K17="Si",'Servizi di Sicurezza Perimetr.'!$L17&lt;&gt;"Si"),"Si","")</f>
        <v/>
      </c>
      <c r="J43" s="245" t="str">
        <f>IF(AND('Servizi di Sicurezza Perimetr.'!$K17&lt;&gt;"Si",'Servizi di Sicurezza Perimetr.'!$L17="Si"),"Si","")</f>
        <v/>
      </c>
      <c r="K43" s="245" t="str">
        <f>IF(AND('Servizi di Sicurezza Perimetr.'!$K17="Si",'Servizi di Sicurezza Perimetr.'!$L17="Si"),"Si","")</f>
        <v/>
      </c>
      <c r="L43" s="50">
        <f>IF(B43&lt;&gt;0,VLOOKUP(B43,Listini!$A$60:$V$90,3,FALSE)*(1+IF(I43="Si",(Listini!$E$120-100)/100,0)+IF(K43="Si",(Listini!$E$122-100)/100,0)),0)</f>
        <v>0</v>
      </c>
      <c r="M43" s="50">
        <f>IF(B43&lt;&gt;0,(VLOOKUP(B43,Listini!$A$60:$V$90,4,FALSE)+IF(C43="Si",VLOOKUP(CONCATENATE(B43,"-AACF"),Listini!$A$91:$V$96,4,FALSE),0)+IF(D43="Si",VLOOKUP(CONCATENATE(B43,"-AFM"),Listini!$A$97:$V$102,4,FALSE),0)+IF(E43="Si",VLOOKUP(CONCATENATE(B43,"-VPN"),Listini!$A$103:$V$108,4,FALSE),0)+IF(F43="Si",VLOOKUP(CONCATENATE(B43,"-WAF"),Listini!$A$109:$V$114,4,FALSE),0))*(1+IF(I43="Si",(Listini!$F$120-100)/100,0)+IF(J43="Si",(Listini!$F$121-100)/100,0)+IF(K43="Si",(Listini!$F$122-100)/100,0)),0)+IF(G43&lt;&gt;0,VLOOKUP(G43,Listini!$A$115:$V$117,4,FALSE),0)+IF(H43&lt;&gt;0,$H43*Listini!$D$118,0)</f>
        <v>0</v>
      </c>
      <c r="N43" s="50">
        <f>IF(B43&lt;&gt;0,VLOOKUP(B43,Listini!$A$60:$V$90,7,FALSE)*(1+IF(I43="Si",(Listini!$I$120-100)/100,0)+IF(K43="Si",(Listini!$I$122-100)/100,0)),0)</f>
        <v>0</v>
      </c>
      <c r="O43" s="50">
        <f>IF(B43&lt;&gt;0,(VLOOKUP(B43,Listini!$A$60:$V$90,8,FALSE)+IF(C43="Si",VLOOKUP(CONCATENATE(B43,"-AACF"),Listini!$A$91:$V$96,8,FALSE),0)+IF(D43="Si",VLOOKUP(CONCATENATE(B43,"-AFM"),Listini!$A$97:$V$102,8,FALSE),0)+IF(E43="Si",VLOOKUP(CONCATENATE(B43,"-VPN"),Listini!$A$103:$V$108,8,FALSE),0)+IF(F43="Si",VLOOKUP(CONCATENATE(B43,"-WAF"),Listini!$A$109:$V$114,8,FALSE),0))*(1+IF(I43="Si",(Listini!$J$120-100)/100,0)+IF(J43="Si",(Listini!$J$121-100)/100,0)+IF(K43="Si",(Listini!$J$122-100)/100,0)),0)+IF(G43&lt;&gt;0,VLOOKUP(G43,Listini!$A$115:$V$117,8,FALSE),0)+IF(H43&lt;&gt;0,$H43*Listini!$H$118,0)</f>
        <v>0</v>
      </c>
      <c r="P43" s="50">
        <f>IF(B43&lt;&gt;0,VLOOKUP(B43,Listini!$A$60:$V$90,11,FALSE)*(1+IF(I43="Si",(Listini!$M$120-100)/100,0)+IF(K43="Si",(Listini!$M$122-100)/100,0)),0)</f>
        <v>0</v>
      </c>
      <c r="Q43" s="244">
        <f>IF(B43&lt;&gt;0,(VLOOKUP(B43,Listini!$A$60:$V$90,12,FALSE)+IF(C43="Si",VLOOKUP(CONCATENATE(B43,"-AACF"),Listini!$A$91:$V$96,12,FALSE),0)+IF(D43="Si",VLOOKUP(CONCATENATE(B43,"-AFM"),Listini!$A$97:$V$102,12,FALSE),0)+IF(E43="Si",VLOOKUP(CONCATENATE(B43,"-VPN"),Listini!$A$102:$V$108,12,FALSE),0)+IF(F43="Si",VLOOKUP(CONCATENATE(B43,"-WAF"),Listini!$A$109:$V$114,12,FALSE),0))*(1+IF(I43="Si",(Listini!$N$120-100)/100,0)+IF(J43="Si",(Listini!$N$121-100)/100,0)+IF(K43="Si",(Listini!$N$122-100)/100,0)),0)+IF(G43&lt;&gt;0,VLOOKUP(G43,Listini!$A$115:$V$117,12,FALSE),0)+IF(H43&lt;&gt;0,$H43*Listini!$L$118,0)</f>
        <v>0</v>
      </c>
      <c r="R43" s="244">
        <f>IF(B43&lt;&gt;0,VLOOKUP(B43,Listini!$A$60:$V$90,15,FALSE)*(1+IF(I43="Si",(Listini!$Q$120-100)/100,0)+IF(K43="Si",(Listini!$Q$122-100)/100,0)),0)</f>
        <v>0</v>
      </c>
      <c r="S43" s="244">
        <f>IF(B43&lt;&gt;0,(VLOOKUP(B43,Listini!$A$60:$V$90,16,FALSE)+IF(C43="Si",VLOOKUP(CONCATENATE(B43,"-AACF"),Listini!$A$91:$V$96,16,FALSE),0)+IF(D43="Si",VLOOKUP(CONCATENATE(B43,"-AFM"),Listini!$A$97:$V$102,16,FALSE),0)+IF(E43="Si",VLOOKUP(CONCATENATE(B43,"-VPN"),Listini!$A$103:$V$108,16,FALSE),0)+IF(F43="Si",VLOOKUP(CONCATENATE(B43,"-WAF"),Listini!$A$109:$V$114,16,FALSE),0))*(1+IF(I43="Si",(Listini!$R$120-100)/100,0)+IF(J43="Si",(Listini!$R$121-100)/100,0)+IF(K43="Si",(Listini!$R$122-100)/100,0)),0)+IF(G43&lt;&gt;0,VLOOKUP(G43,Listini!$A$115:$V$117,16,FALSE),0)+IF(H43&lt;&gt;0,$H43*Listini!$P$118,0)</f>
        <v>0</v>
      </c>
      <c r="T43" s="244">
        <f>IF(B43&lt;&gt;0,VLOOKUP(B43,Listini!$A$60:$V$90,19,FALSE)*(1+IF(I43="Si",(Listini!$U$120-100)/100,0)+IF(K43="Si",(Listini!$U$122-100)/100,0)),0)</f>
        <v>0</v>
      </c>
      <c r="U43" s="244">
        <f>IF(B43&lt;&gt;0,(VLOOKUP(B43,Listini!$A$60:$V$90,20,FALSE)+IF(C43="Si",VLOOKUP(CONCATENATE(B43,"-AACF"),Listini!$A$91:$V$96,20,FALSE),0)+IF(D43="Si",VLOOKUP(CONCATENATE(B43,"-AFM"),Listini!$A$97:$V$102,20,FALSE),0)+IF(E43="Si",VLOOKUP(CONCATENATE(B43,"-VPN"),Listini!$A$103:$V$108,20,FALSE),0)+IF(F43="Si",VLOOKUP(CONCATENATE(B43,"-WAF"),Listini!$A$109:$V$114,20,FALSE),0))*(1+IF(I43="Si",(Listini!$V$120-100)/100,0)+IF(J43="Si",(Listini!$V$121-100)/100,0)+IF(K43="Si",(Listini!$V$122-100)/100,0)),0)+IF(G43&lt;&gt;0,VLOOKUP(G43,Listini!$A$115:$V$117,20,FALSE),0)+IF(H43&lt;&gt;0,$H43*Listini!$T$118,0)</f>
        <v>0</v>
      </c>
      <c r="V43" s="244">
        <f>IF(B43&lt;&gt;0,VLOOKUP(B43,'Listino Offerta'!$A$60:$V$90,3,FALSE)*(1+IF(I43="Si",('Listino Offerta'!$E$120-100)/100,0)+IF(K43="Si",('Listino Offerta'!$E$122-100)/100,0)),0)</f>
        <v>0</v>
      </c>
      <c r="W43" s="244">
        <f>IF(B43&lt;&gt;0,(VLOOKUP(B43,'Listino Offerta'!$A$60:$V$90,4,FALSE)+IF(C43="Si",VLOOKUP(CONCATENATE(B43,"-AACF"),'Listino Offerta'!$A$91:$V$96,4,FALSE),0)+IF(D43="Si",VLOOKUP(CONCATENATE(B43,"-AFM"),'Listino Offerta'!$A$97:$V$102,4,FALSE),0)+IF(E43="Si",VLOOKUP(CONCATENATE(B43,"-VPN"),'Listino Offerta'!$A$103:$V$108,4,FALSE),0)+IF(F43="Si",VLOOKUP(CONCATENATE(B43,"-WAF"),'Listino Offerta'!$A$109:$V$114,4,FALSE),0))*(1+IF(I43="Si",('Listino Offerta'!$F$120-100)/100,0)+IF(J43="Si",('Listino Offerta'!$F$121-100)/100,0)+IF(K43="Si",('Listino Offerta'!$F$122-100)/100,0)),0)+IF(G43&lt;&gt;0,VLOOKUP(G43,'Listino Offerta'!$A$115:$V$117,4,FALSE),0)+IF(H43&lt;&gt;0,$H43*'Listino Offerta'!$D$118,0)</f>
        <v>0</v>
      </c>
    </row>
    <row r="44" spans="1:23" s="244" customFormat="1" ht="12.75" customHeight="1">
      <c r="A44" s="241">
        <v>14</v>
      </c>
      <c r="B44" s="275">
        <f>IF('Servizi di Sicurezza Perimetr.'!D18&lt;&gt;"SCEN",'Servizi di Sicurezza Perimetr.'!D18,'Servizi di Trasporto Dati'!AF18)</f>
        <v>0</v>
      </c>
      <c r="C44" s="245">
        <f>'Servizi di Sicurezza Perimetr.'!E18</f>
        <v>0</v>
      </c>
      <c r="D44" s="245">
        <f>'Servizi di Sicurezza Perimetr.'!F18</f>
        <v>0</v>
      </c>
      <c r="E44" s="245">
        <f>'Servizi di Sicurezza Perimetr.'!G18</f>
        <v>0</v>
      </c>
      <c r="F44" s="245">
        <f>'Servizi di Sicurezza Perimetr.'!H18</f>
        <v>0</v>
      </c>
      <c r="G44" s="245">
        <f>'Servizi di Sicurezza Perimetr.'!I18</f>
        <v>0</v>
      </c>
      <c r="H44" s="245">
        <f>'Servizi di Sicurezza Perimetr.'!J18</f>
        <v>0</v>
      </c>
      <c r="I44" s="245" t="str">
        <f>IF(AND('Servizi di Sicurezza Perimetr.'!$K18="Si",'Servizi di Sicurezza Perimetr.'!$L18&lt;&gt;"Si"),"Si","")</f>
        <v/>
      </c>
      <c r="J44" s="245" t="str">
        <f>IF(AND('Servizi di Sicurezza Perimetr.'!$K18&lt;&gt;"Si",'Servizi di Sicurezza Perimetr.'!$L18="Si"),"Si","")</f>
        <v/>
      </c>
      <c r="K44" s="245" t="str">
        <f>IF(AND('Servizi di Sicurezza Perimetr.'!$K18="Si",'Servizi di Sicurezza Perimetr.'!$L18="Si"),"Si","")</f>
        <v/>
      </c>
      <c r="L44" s="50">
        <f>IF(B44&lt;&gt;0,VLOOKUP(B44,Listini!$A$60:$V$90,3,FALSE)*(1+IF(I44="Si",(Listini!$E$120-100)/100,0)+IF(K44="Si",(Listini!$E$122-100)/100,0)),0)</f>
        <v>0</v>
      </c>
      <c r="M44" s="50">
        <f>IF(B44&lt;&gt;0,(VLOOKUP(B44,Listini!$A$60:$V$90,4,FALSE)+IF(C44="Si",VLOOKUP(CONCATENATE(B44,"-AACF"),Listini!$A$91:$V$96,4,FALSE),0)+IF(D44="Si",VLOOKUP(CONCATENATE(B44,"-AFM"),Listini!$A$97:$V$102,4,FALSE),0)+IF(E44="Si",VLOOKUP(CONCATENATE(B44,"-VPN"),Listini!$A$103:$V$108,4,FALSE),0)+IF(F44="Si",VLOOKUP(CONCATENATE(B44,"-WAF"),Listini!$A$109:$V$114,4,FALSE),0))*(1+IF(I44="Si",(Listini!$F$120-100)/100,0)+IF(J44="Si",(Listini!$F$121-100)/100,0)+IF(K44="Si",(Listini!$F$122-100)/100,0)),0)+IF(G44&lt;&gt;0,VLOOKUP(G44,Listini!$A$115:$V$117,4,FALSE),0)+IF(H44&lt;&gt;0,$H44*Listini!$D$118,0)</f>
        <v>0</v>
      </c>
      <c r="N44" s="50">
        <f>IF(B44&lt;&gt;0,VLOOKUP(B44,Listini!$A$60:$V$90,7,FALSE)*(1+IF(I44="Si",(Listini!$I$120-100)/100,0)+IF(K44="Si",(Listini!$I$122-100)/100,0)),0)</f>
        <v>0</v>
      </c>
      <c r="O44" s="50">
        <f>IF(B44&lt;&gt;0,(VLOOKUP(B44,Listini!$A$60:$V$90,8,FALSE)+IF(C44="Si",VLOOKUP(CONCATENATE(B44,"-AACF"),Listini!$A$91:$V$96,8,FALSE),0)+IF(D44="Si",VLOOKUP(CONCATENATE(B44,"-AFM"),Listini!$A$97:$V$102,8,FALSE),0)+IF(E44="Si",VLOOKUP(CONCATENATE(B44,"-VPN"),Listini!$A$103:$V$108,8,FALSE),0)+IF(F44="Si",VLOOKUP(CONCATENATE(B44,"-WAF"),Listini!$A$109:$V$114,8,FALSE),0))*(1+IF(I44="Si",(Listini!$J$120-100)/100,0)+IF(J44="Si",(Listini!$J$121-100)/100,0)+IF(K44="Si",(Listini!$J$122-100)/100,0)),0)+IF(G44&lt;&gt;0,VLOOKUP(G44,Listini!$A$115:$V$117,8,FALSE),0)+IF(H44&lt;&gt;0,$H44*Listini!$H$118,0)</f>
        <v>0</v>
      </c>
      <c r="P44" s="50">
        <f>IF(B44&lt;&gt;0,VLOOKUP(B44,Listini!$A$60:$V$90,11,FALSE)*(1+IF(I44="Si",(Listini!$M$120-100)/100,0)+IF(K44="Si",(Listini!$M$122-100)/100,0)),0)</f>
        <v>0</v>
      </c>
      <c r="Q44" s="244">
        <f>IF(B44&lt;&gt;0,(VLOOKUP(B44,Listini!$A$60:$V$90,12,FALSE)+IF(C44="Si",VLOOKUP(CONCATENATE(B44,"-AACF"),Listini!$A$91:$V$96,12,FALSE),0)+IF(D44="Si",VLOOKUP(CONCATENATE(B44,"-AFM"),Listini!$A$97:$V$102,12,FALSE),0)+IF(E44="Si",VLOOKUP(CONCATENATE(B44,"-VPN"),Listini!$A$102:$V$108,12,FALSE),0)+IF(F44="Si",VLOOKUP(CONCATENATE(B44,"-WAF"),Listini!$A$109:$V$114,12,FALSE),0))*(1+IF(I44="Si",(Listini!$N$120-100)/100,0)+IF(J44="Si",(Listini!$N$121-100)/100,0)+IF(K44="Si",(Listini!$N$122-100)/100,0)),0)+IF(G44&lt;&gt;0,VLOOKUP(G44,Listini!$A$115:$V$117,12,FALSE),0)+IF(H44&lt;&gt;0,$H44*Listini!$L$118,0)</f>
        <v>0</v>
      </c>
      <c r="R44" s="244">
        <f>IF(B44&lt;&gt;0,VLOOKUP(B44,Listini!$A$60:$V$90,15,FALSE)*(1+IF(I44="Si",(Listini!$Q$120-100)/100,0)+IF(K44="Si",(Listini!$Q$122-100)/100,0)),0)</f>
        <v>0</v>
      </c>
      <c r="S44" s="244">
        <f>IF(B44&lt;&gt;0,(VLOOKUP(B44,Listini!$A$60:$V$90,16,FALSE)+IF(C44="Si",VLOOKUP(CONCATENATE(B44,"-AACF"),Listini!$A$91:$V$96,16,FALSE),0)+IF(D44="Si",VLOOKUP(CONCATENATE(B44,"-AFM"),Listini!$A$97:$V$102,16,FALSE),0)+IF(E44="Si",VLOOKUP(CONCATENATE(B44,"-VPN"),Listini!$A$103:$V$108,16,FALSE),0)+IF(F44="Si",VLOOKUP(CONCATENATE(B44,"-WAF"),Listini!$A$109:$V$114,16,FALSE),0))*(1+IF(I44="Si",(Listini!$R$120-100)/100,0)+IF(J44="Si",(Listini!$R$121-100)/100,0)+IF(K44="Si",(Listini!$R$122-100)/100,0)),0)+IF(G44&lt;&gt;0,VLOOKUP(G44,Listini!$A$115:$V$117,16,FALSE),0)+IF(H44&lt;&gt;0,$H44*Listini!$P$118,0)</f>
        <v>0</v>
      </c>
      <c r="T44" s="244">
        <f>IF(B44&lt;&gt;0,VLOOKUP(B44,Listini!$A$60:$V$90,19,FALSE)*(1+IF(I44="Si",(Listini!$U$120-100)/100,0)+IF(K44="Si",(Listini!$U$122-100)/100,0)),0)</f>
        <v>0</v>
      </c>
      <c r="U44" s="244">
        <f>IF(B44&lt;&gt;0,(VLOOKUP(B44,Listini!$A$60:$V$90,20,FALSE)+IF(C44="Si",VLOOKUP(CONCATENATE(B44,"-AACF"),Listini!$A$91:$V$96,20,FALSE),0)+IF(D44="Si",VLOOKUP(CONCATENATE(B44,"-AFM"),Listini!$A$97:$V$102,20,FALSE),0)+IF(E44="Si",VLOOKUP(CONCATENATE(B44,"-VPN"),Listini!$A$103:$V$108,20,FALSE),0)+IF(F44="Si",VLOOKUP(CONCATENATE(B44,"-WAF"),Listini!$A$109:$V$114,20,FALSE),0))*(1+IF(I44="Si",(Listini!$V$120-100)/100,0)+IF(J44="Si",(Listini!$V$121-100)/100,0)+IF(K44="Si",(Listini!$V$122-100)/100,0)),0)+IF(G44&lt;&gt;0,VLOOKUP(G44,Listini!$A$115:$V$117,20,FALSE),0)+IF(H44&lt;&gt;0,$H44*Listini!$T$118,0)</f>
        <v>0</v>
      </c>
      <c r="V44" s="244">
        <f>IF(B44&lt;&gt;0,VLOOKUP(B44,'Listino Offerta'!$A$60:$V$90,3,FALSE)*(1+IF(I44="Si",('Listino Offerta'!$E$120-100)/100,0)+IF(K44="Si",('Listino Offerta'!$E$122-100)/100,0)),0)</f>
        <v>0</v>
      </c>
      <c r="W44" s="244">
        <f>IF(B44&lt;&gt;0,(VLOOKUP(B44,'Listino Offerta'!$A$60:$V$90,4,FALSE)+IF(C44="Si",VLOOKUP(CONCATENATE(B44,"-AACF"),'Listino Offerta'!$A$91:$V$96,4,FALSE),0)+IF(D44="Si",VLOOKUP(CONCATENATE(B44,"-AFM"),'Listino Offerta'!$A$97:$V$102,4,FALSE),0)+IF(E44="Si",VLOOKUP(CONCATENATE(B44,"-VPN"),'Listino Offerta'!$A$103:$V$108,4,FALSE),0)+IF(F44="Si",VLOOKUP(CONCATENATE(B44,"-WAF"),'Listino Offerta'!$A$109:$V$114,4,FALSE),0))*(1+IF(I44="Si",('Listino Offerta'!$F$120-100)/100,0)+IF(J44="Si",('Listino Offerta'!$F$121-100)/100,0)+IF(K44="Si",('Listino Offerta'!$F$122-100)/100,0)),0)+IF(G44&lt;&gt;0,VLOOKUP(G44,'Listino Offerta'!$A$115:$V$117,4,FALSE),0)+IF(H44&lt;&gt;0,$H44*'Listino Offerta'!$D$118,0)</f>
        <v>0</v>
      </c>
    </row>
    <row r="45" spans="1:23" s="244" customFormat="1" ht="12.75" customHeight="1">
      <c r="A45" s="241">
        <v>15</v>
      </c>
      <c r="B45" s="275">
        <f>IF('Servizi di Sicurezza Perimetr.'!D19&lt;&gt;"SCEN",'Servizi di Sicurezza Perimetr.'!D19,'Servizi di Trasporto Dati'!AF19)</f>
        <v>0</v>
      </c>
      <c r="C45" s="245">
        <f>'Servizi di Sicurezza Perimetr.'!E19</f>
        <v>0</v>
      </c>
      <c r="D45" s="245">
        <f>'Servizi di Sicurezza Perimetr.'!F19</f>
        <v>0</v>
      </c>
      <c r="E45" s="245">
        <f>'Servizi di Sicurezza Perimetr.'!G19</f>
        <v>0</v>
      </c>
      <c r="F45" s="245">
        <f>'Servizi di Sicurezza Perimetr.'!H19</f>
        <v>0</v>
      </c>
      <c r="G45" s="245">
        <f>'Servizi di Sicurezza Perimetr.'!I19</f>
        <v>0</v>
      </c>
      <c r="H45" s="245">
        <f>'Servizi di Sicurezza Perimetr.'!J19</f>
        <v>0</v>
      </c>
      <c r="I45" s="245" t="str">
        <f>IF(AND('Servizi di Sicurezza Perimetr.'!$K19="Si",'Servizi di Sicurezza Perimetr.'!$L19&lt;&gt;"Si"),"Si","")</f>
        <v/>
      </c>
      <c r="J45" s="245" t="str">
        <f>IF(AND('Servizi di Sicurezza Perimetr.'!$K19&lt;&gt;"Si",'Servizi di Sicurezza Perimetr.'!$L19="Si"),"Si","")</f>
        <v/>
      </c>
      <c r="K45" s="245" t="str">
        <f>IF(AND('Servizi di Sicurezza Perimetr.'!$K19="Si",'Servizi di Sicurezza Perimetr.'!$L19="Si"),"Si","")</f>
        <v/>
      </c>
      <c r="L45" s="50">
        <f>IF(B45&lt;&gt;0,VLOOKUP(B45,Listini!$A$60:$V$90,3,FALSE)*(1+IF(I45="Si",(Listini!$E$120-100)/100,0)+IF(K45="Si",(Listini!$E$122-100)/100,0)),0)</f>
        <v>0</v>
      </c>
      <c r="M45" s="50">
        <f>IF(B45&lt;&gt;0,(VLOOKUP(B45,Listini!$A$60:$V$90,4,FALSE)+IF(C45="Si",VLOOKUP(CONCATENATE(B45,"-AACF"),Listini!$A$91:$V$96,4,FALSE),0)+IF(D45="Si",VLOOKUP(CONCATENATE(B45,"-AFM"),Listini!$A$97:$V$102,4,FALSE),0)+IF(E45="Si",VLOOKUP(CONCATENATE(B45,"-VPN"),Listini!$A$103:$V$108,4,FALSE),0)+IF(F45="Si",VLOOKUP(CONCATENATE(B45,"-WAF"),Listini!$A$109:$V$114,4,FALSE),0))*(1+IF(I45="Si",(Listini!$F$120-100)/100,0)+IF(J45="Si",(Listini!$F$121-100)/100,0)+IF(K45="Si",(Listini!$F$122-100)/100,0)),0)+IF(G45&lt;&gt;0,VLOOKUP(G45,Listini!$A$115:$V$117,4,FALSE),0)+IF(H45&lt;&gt;0,$H45*Listini!$D$118,0)</f>
        <v>0</v>
      </c>
      <c r="N45" s="50">
        <f>IF(B45&lt;&gt;0,VLOOKUP(B45,Listini!$A$60:$V$90,7,FALSE)*(1+IF(I45="Si",(Listini!$I$120-100)/100,0)+IF(K45="Si",(Listini!$I$122-100)/100,0)),0)</f>
        <v>0</v>
      </c>
      <c r="O45" s="50">
        <f>IF(B45&lt;&gt;0,(VLOOKUP(B45,Listini!$A$60:$V$90,8,FALSE)+IF(C45="Si",VLOOKUP(CONCATENATE(B45,"-AACF"),Listini!$A$91:$V$96,8,FALSE),0)+IF(D45="Si",VLOOKUP(CONCATENATE(B45,"-AFM"),Listini!$A$97:$V$102,8,FALSE),0)+IF(E45="Si",VLOOKUP(CONCATENATE(B45,"-VPN"),Listini!$A$103:$V$108,8,FALSE),0)+IF(F45="Si",VLOOKUP(CONCATENATE(B45,"-WAF"),Listini!$A$109:$V$114,8,FALSE),0))*(1+IF(I45="Si",(Listini!$J$120-100)/100,0)+IF(J45="Si",(Listini!$J$121-100)/100,0)+IF(K45="Si",(Listini!$J$122-100)/100,0)),0)+IF(G45&lt;&gt;0,VLOOKUP(G45,Listini!$A$115:$V$117,8,FALSE),0)+IF(H45&lt;&gt;0,$H45*Listini!$H$118,0)</f>
        <v>0</v>
      </c>
      <c r="P45" s="50">
        <f>IF(B45&lt;&gt;0,VLOOKUP(B45,Listini!$A$60:$V$90,11,FALSE)*(1+IF(I45="Si",(Listini!$M$120-100)/100,0)+IF(K45="Si",(Listini!$M$122-100)/100,0)),0)</f>
        <v>0</v>
      </c>
      <c r="Q45" s="244">
        <f>IF(B45&lt;&gt;0,(VLOOKUP(B45,Listini!$A$60:$V$90,12,FALSE)+IF(C45="Si",VLOOKUP(CONCATENATE(B45,"-AACF"),Listini!$A$91:$V$96,12,FALSE),0)+IF(D45="Si",VLOOKUP(CONCATENATE(B45,"-AFM"),Listini!$A$97:$V$102,12,FALSE),0)+IF(E45="Si",VLOOKUP(CONCATENATE(B45,"-VPN"),Listini!$A$102:$V$108,12,FALSE),0)+IF(F45="Si",VLOOKUP(CONCATENATE(B45,"-WAF"),Listini!$A$109:$V$114,12,FALSE),0))*(1+IF(I45="Si",(Listini!$N$120-100)/100,0)+IF(J45="Si",(Listini!$N$121-100)/100,0)+IF(K45="Si",(Listini!$N$122-100)/100,0)),0)+IF(G45&lt;&gt;0,VLOOKUP(G45,Listini!$A$115:$V$117,12,FALSE),0)+IF(H45&lt;&gt;0,$H45*Listini!$L$118,0)</f>
        <v>0</v>
      </c>
      <c r="R45" s="244">
        <f>IF(B45&lt;&gt;0,VLOOKUP(B45,Listini!$A$60:$V$90,15,FALSE)*(1+IF(I45="Si",(Listini!$Q$120-100)/100,0)+IF(K45="Si",(Listini!$Q$122-100)/100,0)),0)</f>
        <v>0</v>
      </c>
      <c r="S45" s="244">
        <f>IF(B45&lt;&gt;0,(VLOOKUP(B45,Listini!$A$60:$V$90,16,FALSE)+IF(C45="Si",VLOOKUP(CONCATENATE(B45,"-AACF"),Listini!$A$91:$V$96,16,FALSE),0)+IF(D45="Si",VLOOKUP(CONCATENATE(B45,"-AFM"),Listini!$A$97:$V$102,16,FALSE),0)+IF(E45="Si",VLOOKUP(CONCATENATE(B45,"-VPN"),Listini!$A$103:$V$108,16,FALSE),0)+IF(F45="Si",VLOOKUP(CONCATENATE(B45,"-WAF"),Listini!$A$109:$V$114,16,FALSE),0))*(1+IF(I45="Si",(Listini!$R$120-100)/100,0)+IF(J45="Si",(Listini!$R$121-100)/100,0)+IF(K45="Si",(Listini!$R$122-100)/100,0)),0)+IF(G45&lt;&gt;0,VLOOKUP(G45,Listini!$A$115:$V$117,16,FALSE),0)+IF(H45&lt;&gt;0,$H45*Listini!$P$118,0)</f>
        <v>0</v>
      </c>
      <c r="T45" s="244">
        <f>IF(B45&lt;&gt;0,VLOOKUP(B45,Listini!$A$60:$V$90,19,FALSE)*(1+IF(I45="Si",(Listini!$U$120-100)/100,0)+IF(K45="Si",(Listini!$U$122-100)/100,0)),0)</f>
        <v>0</v>
      </c>
      <c r="U45" s="244">
        <f>IF(B45&lt;&gt;0,(VLOOKUP(B45,Listini!$A$60:$V$90,20,FALSE)+IF(C45="Si",VLOOKUP(CONCATENATE(B45,"-AACF"),Listini!$A$91:$V$96,20,FALSE),0)+IF(D45="Si",VLOOKUP(CONCATENATE(B45,"-AFM"),Listini!$A$97:$V$102,20,FALSE),0)+IF(E45="Si",VLOOKUP(CONCATENATE(B45,"-VPN"),Listini!$A$103:$V$108,20,FALSE),0)+IF(F45="Si",VLOOKUP(CONCATENATE(B45,"-WAF"),Listini!$A$109:$V$114,20,FALSE),0))*(1+IF(I45="Si",(Listini!$V$120-100)/100,0)+IF(J45="Si",(Listini!$V$121-100)/100,0)+IF(K45="Si",(Listini!$V$122-100)/100,0)),0)+IF(G45&lt;&gt;0,VLOOKUP(G45,Listini!$A$115:$V$117,20,FALSE),0)+IF(H45&lt;&gt;0,$H45*Listini!$T$118,0)</f>
        <v>0</v>
      </c>
      <c r="V45" s="244">
        <f>IF(B45&lt;&gt;0,VLOOKUP(B45,'Listino Offerta'!$A$60:$V$90,3,FALSE)*(1+IF(I45="Si",('Listino Offerta'!$E$120-100)/100,0)+IF(K45="Si",('Listino Offerta'!$E$122-100)/100,0)),0)</f>
        <v>0</v>
      </c>
      <c r="W45" s="244">
        <f>IF(B45&lt;&gt;0,(VLOOKUP(B45,'Listino Offerta'!$A$60:$V$90,4,FALSE)+IF(C45="Si",VLOOKUP(CONCATENATE(B45,"-AACF"),'Listino Offerta'!$A$91:$V$96,4,FALSE),0)+IF(D45="Si",VLOOKUP(CONCATENATE(B45,"-AFM"),'Listino Offerta'!$A$97:$V$102,4,FALSE),0)+IF(E45="Si",VLOOKUP(CONCATENATE(B45,"-VPN"),'Listino Offerta'!$A$103:$V$108,4,FALSE),0)+IF(F45="Si",VLOOKUP(CONCATENATE(B45,"-WAF"),'Listino Offerta'!$A$109:$V$114,4,FALSE),0))*(1+IF(I45="Si",('Listino Offerta'!$F$120-100)/100,0)+IF(J45="Si",('Listino Offerta'!$F$121-100)/100,0)+IF(K45="Si",('Listino Offerta'!$F$122-100)/100,0)),0)+IF(G45&lt;&gt;0,VLOOKUP(G45,'Listino Offerta'!$A$115:$V$117,4,FALSE),0)+IF(H45&lt;&gt;0,$H45*'Listino Offerta'!$D$118,0)</f>
        <v>0</v>
      </c>
    </row>
    <row r="46" spans="1:23" s="244" customFormat="1" ht="12.75" customHeight="1">
      <c r="A46" s="241">
        <v>16</v>
      </c>
      <c r="B46" s="275">
        <f>IF('Servizi di Sicurezza Perimetr.'!D20&lt;&gt;"SCEN",'Servizi di Sicurezza Perimetr.'!D20,'Servizi di Trasporto Dati'!AF20)</f>
        <v>0</v>
      </c>
      <c r="C46" s="245">
        <f>'Servizi di Sicurezza Perimetr.'!E20</f>
        <v>0</v>
      </c>
      <c r="D46" s="245">
        <f>'Servizi di Sicurezza Perimetr.'!F20</f>
        <v>0</v>
      </c>
      <c r="E46" s="245">
        <f>'Servizi di Sicurezza Perimetr.'!G20</f>
        <v>0</v>
      </c>
      <c r="F46" s="245">
        <f>'Servizi di Sicurezza Perimetr.'!H20</f>
        <v>0</v>
      </c>
      <c r="G46" s="245">
        <f>'Servizi di Sicurezza Perimetr.'!I20</f>
        <v>0</v>
      </c>
      <c r="H46" s="245">
        <f>'Servizi di Sicurezza Perimetr.'!J20</f>
        <v>0</v>
      </c>
      <c r="I46" s="245" t="str">
        <f>IF(AND('Servizi di Sicurezza Perimetr.'!$K20="Si",'Servizi di Sicurezza Perimetr.'!$L20&lt;&gt;"Si"),"Si","")</f>
        <v/>
      </c>
      <c r="J46" s="245" t="str">
        <f>IF(AND('Servizi di Sicurezza Perimetr.'!$K20&lt;&gt;"Si",'Servizi di Sicurezza Perimetr.'!$L20="Si"),"Si","")</f>
        <v/>
      </c>
      <c r="K46" s="245" t="str">
        <f>IF(AND('Servizi di Sicurezza Perimetr.'!$K20="Si",'Servizi di Sicurezza Perimetr.'!$L20="Si"),"Si","")</f>
        <v/>
      </c>
      <c r="L46" s="50">
        <f>IF(B46&lt;&gt;0,VLOOKUP(B46,Listini!$A$60:$V$90,3,FALSE)*(1+IF(I46="Si",(Listini!$E$120-100)/100,0)+IF(K46="Si",(Listini!$E$122-100)/100,0)),0)</f>
        <v>0</v>
      </c>
      <c r="M46" s="50">
        <f>IF(B46&lt;&gt;0,(VLOOKUP(B46,Listini!$A$60:$V$90,4,FALSE)+IF(C46="Si",VLOOKUP(CONCATENATE(B46,"-AACF"),Listini!$A$91:$V$96,4,FALSE),0)+IF(D46="Si",VLOOKUP(CONCATENATE(B46,"-AFM"),Listini!$A$97:$V$102,4,FALSE),0)+IF(E46="Si",VLOOKUP(CONCATENATE(B46,"-VPN"),Listini!$A$103:$V$108,4,FALSE),0)+IF(F46="Si",VLOOKUP(CONCATENATE(B46,"-WAF"),Listini!$A$109:$V$114,4,FALSE),0))*(1+IF(I46="Si",(Listini!$F$120-100)/100,0)+IF(J46="Si",(Listini!$F$121-100)/100,0)+IF(K46="Si",(Listini!$F$122-100)/100,0)),0)+IF(G46&lt;&gt;0,VLOOKUP(G46,Listini!$A$115:$V$117,4,FALSE),0)+IF(H46&lt;&gt;0,$H46*Listini!$D$118,0)</f>
        <v>0</v>
      </c>
      <c r="N46" s="50">
        <f>IF(B46&lt;&gt;0,VLOOKUP(B46,Listini!$A$60:$V$90,7,FALSE)*(1+IF(I46="Si",(Listini!$I$120-100)/100,0)+IF(K46="Si",(Listini!$I$122-100)/100,0)),0)</f>
        <v>0</v>
      </c>
      <c r="O46" s="50">
        <f>IF(B46&lt;&gt;0,(VLOOKUP(B46,Listini!$A$60:$V$90,8,FALSE)+IF(C46="Si",VLOOKUP(CONCATENATE(B46,"-AACF"),Listini!$A$91:$V$96,8,FALSE),0)+IF(D46="Si",VLOOKUP(CONCATENATE(B46,"-AFM"),Listini!$A$97:$V$102,8,FALSE),0)+IF(E46="Si",VLOOKUP(CONCATENATE(B46,"-VPN"),Listini!$A$103:$V$108,8,FALSE),0)+IF(F46="Si",VLOOKUP(CONCATENATE(B46,"-WAF"),Listini!$A$109:$V$114,8,FALSE),0))*(1+IF(I46="Si",(Listini!$J$120-100)/100,0)+IF(J46="Si",(Listini!$J$121-100)/100,0)+IF(K46="Si",(Listini!$J$122-100)/100,0)),0)+IF(G46&lt;&gt;0,VLOOKUP(G46,Listini!$A$115:$V$117,8,FALSE),0)+IF(H46&lt;&gt;0,$H46*Listini!$H$118,0)</f>
        <v>0</v>
      </c>
      <c r="P46" s="50">
        <f>IF(B46&lt;&gt;0,VLOOKUP(B46,Listini!$A$60:$V$90,11,FALSE)*(1+IF(I46="Si",(Listini!$M$120-100)/100,0)+IF(K46="Si",(Listini!$M$122-100)/100,0)),0)</f>
        <v>0</v>
      </c>
      <c r="Q46" s="244">
        <f>IF(B46&lt;&gt;0,(VLOOKUP(B46,Listini!$A$60:$V$90,12,FALSE)+IF(C46="Si",VLOOKUP(CONCATENATE(B46,"-AACF"),Listini!$A$91:$V$96,12,FALSE),0)+IF(D46="Si",VLOOKUP(CONCATENATE(B46,"-AFM"),Listini!$A$97:$V$102,12,FALSE),0)+IF(E46="Si",VLOOKUP(CONCATENATE(B46,"-VPN"),Listini!$A$102:$V$108,12,FALSE),0)+IF(F46="Si",VLOOKUP(CONCATENATE(B46,"-WAF"),Listini!$A$109:$V$114,12,FALSE),0))*(1+IF(I46="Si",(Listini!$N$120-100)/100,0)+IF(J46="Si",(Listini!$N$121-100)/100,0)+IF(K46="Si",(Listini!$N$122-100)/100,0)),0)+IF(G46&lt;&gt;0,VLOOKUP(G46,Listini!$A$115:$V$117,12,FALSE),0)+IF(H46&lt;&gt;0,$H46*Listini!$L$118,0)</f>
        <v>0</v>
      </c>
      <c r="R46" s="244">
        <f>IF(B46&lt;&gt;0,VLOOKUP(B46,Listini!$A$60:$V$90,15,FALSE)*(1+IF(I46="Si",(Listini!$Q$120-100)/100,0)+IF(K46="Si",(Listini!$Q$122-100)/100,0)),0)</f>
        <v>0</v>
      </c>
      <c r="S46" s="244">
        <f>IF(B46&lt;&gt;0,(VLOOKUP(B46,Listini!$A$60:$V$90,16,FALSE)+IF(C46="Si",VLOOKUP(CONCATENATE(B46,"-AACF"),Listini!$A$91:$V$96,16,FALSE),0)+IF(D46="Si",VLOOKUP(CONCATENATE(B46,"-AFM"),Listini!$A$97:$V$102,16,FALSE),0)+IF(E46="Si",VLOOKUP(CONCATENATE(B46,"-VPN"),Listini!$A$103:$V$108,16,FALSE),0)+IF(F46="Si",VLOOKUP(CONCATENATE(B46,"-WAF"),Listini!$A$109:$V$114,16,FALSE),0))*(1+IF(I46="Si",(Listini!$R$120-100)/100,0)+IF(J46="Si",(Listini!$R$121-100)/100,0)+IF(K46="Si",(Listini!$R$122-100)/100,0)),0)+IF(G46&lt;&gt;0,VLOOKUP(G46,Listini!$A$115:$V$117,16,FALSE),0)+IF(H46&lt;&gt;0,$H46*Listini!$P$118,0)</f>
        <v>0</v>
      </c>
      <c r="T46" s="244">
        <f>IF(B46&lt;&gt;0,VLOOKUP(B46,Listini!$A$60:$V$90,19,FALSE)*(1+IF(I46="Si",(Listini!$U$120-100)/100,0)+IF(K46="Si",(Listini!$U$122-100)/100,0)),0)</f>
        <v>0</v>
      </c>
      <c r="U46" s="244">
        <f>IF(B46&lt;&gt;0,(VLOOKUP(B46,Listini!$A$60:$V$90,20,FALSE)+IF(C46="Si",VLOOKUP(CONCATENATE(B46,"-AACF"),Listini!$A$91:$V$96,20,FALSE),0)+IF(D46="Si",VLOOKUP(CONCATENATE(B46,"-AFM"),Listini!$A$97:$V$102,20,FALSE),0)+IF(E46="Si",VLOOKUP(CONCATENATE(B46,"-VPN"),Listini!$A$103:$V$108,20,FALSE),0)+IF(F46="Si",VLOOKUP(CONCATENATE(B46,"-WAF"),Listini!$A$109:$V$114,20,FALSE),0))*(1+IF(I46="Si",(Listini!$V$120-100)/100,0)+IF(J46="Si",(Listini!$V$121-100)/100,0)+IF(K46="Si",(Listini!$V$122-100)/100,0)),0)+IF(G46&lt;&gt;0,VLOOKUP(G46,Listini!$A$115:$V$117,20,FALSE),0)+IF(H46&lt;&gt;0,$H46*Listini!$T$118,0)</f>
        <v>0</v>
      </c>
      <c r="V46" s="244">
        <f>IF(B46&lt;&gt;0,VLOOKUP(B46,'Listino Offerta'!$A$60:$V$90,3,FALSE)*(1+IF(I46="Si",('Listino Offerta'!$E$120-100)/100,0)+IF(K46="Si",('Listino Offerta'!$E$122-100)/100,0)),0)</f>
        <v>0</v>
      </c>
      <c r="W46" s="244">
        <f>IF(B46&lt;&gt;0,(VLOOKUP(B46,'Listino Offerta'!$A$60:$V$90,4,FALSE)+IF(C46="Si",VLOOKUP(CONCATENATE(B46,"-AACF"),'Listino Offerta'!$A$91:$V$96,4,FALSE),0)+IF(D46="Si",VLOOKUP(CONCATENATE(B46,"-AFM"),'Listino Offerta'!$A$97:$V$102,4,FALSE),0)+IF(E46="Si",VLOOKUP(CONCATENATE(B46,"-VPN"),'Listino Offerta'!$A$103:$V$108,4,FALSE),0)+IF(F46="Si",VLOOKUP(CONCATENATE(B46,"-WAF"),'Listino Offerta'!$A$109:$V$114,4,FALSE),0))*(1+IF(I46="Si",('Listino Offerta'!$F$120-100)/100,0)+IF(J46="Si",('Listino Offerta'!$F$121-100)/100,0)+IF(K46="Si",('Listino Offerta'!$F$122-100)/100,0)),0)+IF(G46&lt;&gt;0,VLOOKUP(G46,'Listino Offerta'!$A$115:$V$117,4,FALSE),0)+IF(H46&lt;&gt;0,$H46*'Listino Offerta'!$D$118,0)</f>
        <v>0</v>
      </c>
    </row>
    <row r="47" spans="1:23" s="244" customFormat="1" ht="12.75" customHeight="1">
      <c r="A47" s="241">
        <v>17</v>
      </c>
      <c r="B47" s="275">
        <f>IF('Servizi di Sicurezza Perimetr.'!D21&lt;&gt;"SCEN",'Servizi di Sicurezza Perimetr.'!D21,'Servizi di Trasporto Dati'!AF21)</f>
        <v>0</v>
      </c>
      <c r="C47" s="245">
        <f>'Servizi di Sicurezza Perimetr.'!E21</f>
        <v>0</v>
      </c>
      <c r="D47" s="245">
        <f>'Servizi di Sicurezza Perimetr.'!F21</f>
        <v>0</v>
      </c>
      <c r="E47" s="245">
        <f>'Servizi di Sicurezza Perimetr.'!G21</f>
        <v>0</v>
      </c>
      <c r="F47" s="245">
        <f>'Servizi di Sicurezza Perimetr.'!H21</f>
        <v>0</v>
      </c>
      <c r="G47" s="245">
        <f>'Servizi di Sicurezza Perimetr.'!I21</f>
        <v>0</v>
      </c>
      <c r="H47" s="245">
        <f>'Servizi di Sicurezza Perimetr.'!J21</f>
        <v>0</v>
      </c>
      <c r="I47" s="245" t="str">
        <f>IF(AND('Servizi di Sicurezza Perimetr.'!$K21="Si",'Servizi di Sicurezza Perimetr.'!$L21&lt;&gt;"Si"),"Si","")</f>
        <v/>
      </c>
      <c r="J47" s="245" t="str">
        <f>IF(AND('Servizi di Sicurezza Perimetr.'!$K21&lt;&gt;"Si",'Servizi di Sicurezza Perimetr.'!$L21="Si"),"Si","")</f>
        <v/>
      </c>
      <c r="K47" s="245" t="str">
        <f>IF(AND('Servizi di Sicurezza Perimetr.'!$K21="Si",'Servizi di Sicurezza Perimetr.'!$L21="Si"),"Si","")</f>
        <v/>
      </c>
      <c r="L47" s="50">
        <f>IF(B47&lt;&gt;0,VLOOKUP(B47,Listini!$A$60:$V$90,3,FALSE)*(1+IF(I47="Si",(Listini!$E$120-100)/100,0)+IF(K47="Si",(Listini!$E$122-100)/100,0)),0)</f>
        <v>0</v>
      </c>
      <c r="M47" s="50">
        <f>IF(B47&lt;&gt;0,(VLOOKUP(B47,Listini!$A$60:$V$90,4,FALSE)+IF(C47="Si",VLOOKUP(CONCATENATE(B47,"-AACF"),Listini!$A$91:$V$96,4,FALSE),0)+IF(D47="Si",VLOOKUP(CONCATENATE(B47,"-AFM"),Listini!$A$97:$V$102,4,FALSE),0)+IF(E47="Si",VLOOKUP(CONCATENATE(B47,"-VPN"),Listini!$A$103:$V$108,4,FALSE),0)+IF(F47="Si",VLOOKUP(CONCATENATE(B47,"-WAF"),Listini!$A$109:$V$114,4,FALSE),0))*(1+IF(I47="Si",(Listini!$F$120-100)/100,0)+IF(J47="Si",(Listini!$F$121-100)/100,0)+IF(K47="Si",(Listini!$F$122-100)/100,0)),0)+IF(G47&lt;&gt;0,VLOOKUP(G47,Listini!$A$115:$V$117,4,FALSE),0)+IF(H47&lt;&gt;0,$H47*Listini!$D$118,0)</f>
        <v>0</v>
      </c>
      <c r="N47" s="50">
        <f>IF(B47&lt;&gt;0,VLOOKUP(B47,Listini!$A$60:$V$90,7,FALSE)*(1+IF(I47="Si",(Listini!$I$120-100)/100,0)+IF(K47="Si",(Listini!$I$122-100)/100,0)),0)</f>
        <v>0</v>
      </c>
      <c r="O47" s="50">
        <f>IF(B47&lt;&gt;0,(VLOOKUP(B47,Listini!$A$60:$V$90,8,FALSE)+IF(C47="Si",VLOOKUP(CONCATENATE(B47,"-AACF"),Listini!$A$91:$V$96,8,FALSE),0)+IF(D47="Si",VLOOKUP(CONCATENATE(B47,"-AFM"),Listini!$A$97:$V$102,8,FALSE),0)+IF(E47="Si",VLOOKUP(CONCATENATE(B47,"-VPN"),Listini!$A$103:$V$108,8,FALSE),0)+IF(F47="Si",VLOOKUP(CONCATENATE(B47,"-WAF"),Listini!$A$109:$V$114,8,FALSE),0))*(1+IF(I47="Si",(Listini!$J$120-100)/100,0)+IF(J47="Si",(Listini!$J$121-100)/100,0)+IF(K47="Si",(Listini!$J$122-100)/100,0)),0)+IF(G47&lt;&gt;0,VLOOKUP(G47,Listini!$A$115:$V$117,8,FALSE),0)+IF(H47&lt;&gt;0,$H47*Listini!$H$118,0)</f>
        <v>0</v>
      </c>
      <c r="P47" s="50">
        <f>IF(B47&lt;&gt;0,VLOOKUP(B47,Listini!$A$60:$V$90,11,FALSE)*(1+IF(I47="Si",(Listini!$M$120-100)/100,0)+IF(K47="Si",(Listini!$M$122-100)/100,0)),0)</f>
        <v>0</v>
      </c>
      <c r="Q47" s="244">
        <f>IF(B47&lt;&gt;0,(VLOOKUP(B47,Listini!$A$60:$V$90,12,FALSE)+IF(C47="Si",VLOOKUP(CONCATENATE(B47,"-AACF"),Listini!$A$91:$V$96,12,FALSE),0)+IF(D47="Si",VLOOKUP(CONCATENATE(B47,"-AFM"),Listini!$A$97:$V$102,12,FALSE),0)+IF(E47="Si",VLOOKUP(CONCATENATE(B47,"-VPN"),Listini!$A$102:$V$108,12,FALSE),0)+IF(F47="Si",VLOOKUP(CONCATENATE(B47,"-WAF"),Listini!$A$109:$V$114,12,FALSE),0))*(1+IF(I47="Si",(Listini!$N$120-100)/100,0)+IF(J47="Si",(Listini!$N$121-100)/100,0)+IF(K47="Si",(Listini!$N$122-100)/100,0)),0)+IF(G47&lt;&gt;0,VLOOKUP(G47,Listini!$A$115:$V$117,12,FALSE),0)+IF(H47&lt;&gt;0,$H47*Listini!$L$118,0)</f>
        <v>0</v>
      </c>
      <c r="R47" s="244">
        <f>IF(B47&lt;&gt;0,VLOOKUP(B47,Listini!$A$60:$V$90,15,FALSE)*(1+IF(I47="Si",(Listini!$Q$120-100)/100,0)+IF(K47="Si",(Listini!$Q$122-100)/100,0)),0)</f>
        <v>0</v>
      </c>
      <c r="S47" s="244">
        <f>IF(B47&lt;&gt;0,(VLOOKUP(B47,Listini!$A$60:$V$90,16,FALSE)+IF(C47="Si",VLOOKUP(CONCATENATE(B47,"-AACF"),Listini!$A$91:$V$96,16,FALSE),0)+IF(D47="Si",VLOOKUP(CONCATENATE(B47,"-AFM"),Listini!$A$97:$V$102,16,FALSE),0)+IF(E47="Si",VLOOKUP(CONCATENATE(B47,"-VPN"),Listini!$A$103:$V$108,16,FALSE),0)+IF(F47="Si",VLOOKUP(CONCATENATE(B47,"-WAF"),Listini!$A$109:$V$114,16,FALSE),0))*(1+IF(I47="Si",(Listini!$R$120-100)/100,0)+IF(J47="Si",(Listini!$R$121-100)/100,0)+IF(K47="Si",(Listini!$R$122-100)/100,0)),0)+IF(G47&lt;&gt;0,VLOOKUP(G47,Listini!$A$115:$V$117,16,FALSE),0)+IF(H47&lt;&gt;0,$H47*Listini!$P$118,0)</f>
        <v>0</v>
      </c>
      <c r="T47" s="244">
        <f>IF(B47&lt;&gt;0,VLOOKUP(B47,Listini!$A$60:$V$90,19,FALSE)*(1+IF(I47="Si",(Listini!$U$120-100)/100,0)+IF(K47="Si",(Listini!$U$122-100)/100,0)),0)</f>
        <v>0</v>
      </c>
      <c r="U47" s="244">
        <f>IF(B47&lt;&gt;0,(VLOOKUP(B47,Listini!$A$60:$V$90,20,FALSE)+IF(C47="Si",VLOOKUP(CONCATENATE(B47,"-AACF"),Listini!$A$91:$V$96,20,FALSE),0)+IF(D47="Si",VLOOKUP(CONCATENATE(B47,"-AFM"),Listini!$A$97:$V$102,20,FALSE),0)+IF(E47="Si",VLOOKUP(CONCATENATE(B47,"-VPN"),Listini!$A$103:$V$108,20,FALSE),0)+IF(F47="Si",VLOOKUP(CONCATENATE(B47,"-WAF"),Listini!$A$109:$V$114,20,FALSE),0))*(1+IF(I47="Si",(Listini!$V$120-100)/100,0)+IF(J47="Si",(Listini!$V$121-100)/100,0)+IF(K47="Si",(Listini!$V$122-100)/100,0)),0)+IF(G47&lt;&gt;0,VLOOKUP(G47,Listini!$A$115:$V$117,20,FALSE),0)+IF(H47&lt;&gt;0,$H47*Listini!$T$118,0)</f>
        <v>0</v>
      </c>
      <c r="V47" s="244">
        <f>IF(B47&lt;&gt;0,VLOOKUP(B47,'Listino Offerta'!$A$60:$V$90,3,FALSE)*(1+IF(I47="Si",('Listino Offerta'!$E$120-100)/100,0)+IF(K47="Si",('Listino Offerta'!$E$122-100)/100,0)),0)</f>
        <v>0</v>
      </c>
      <c r="W47" s="244">
        <f>IF(B47&lt;&gt;0,(VLOOKUP(B47,'Listino Offerta'!$A$60:$V$90,4,FALSE)+IF(C47="Si",VLOOKUP(CONCATENATE(B47,"-AACF"),'Listino Offerta'!$A$91:$V$96,4,FALSE),0)+IF(D47="Si",VLOOKUP(CONCATENATE(B47,"-AFM"),'Listino Offerta'!$A$97:$V$102,4,FALSE),0)+IF(E47="Si",VLOOKUP(CONCATENATE(B47,"-VPN"),'Listino Offerta'!$A$103:$V$108,4,FALSE),0)+IF(F47="Si",VLOOKUP(CONCATENATE(B47,"-WAF"),'Listino Offerta'!$A$109:$V$114,4,FALSE),0))*(1+IF(I47="Si",('Listino Offerta'!$F$120-100)/100,0)+IF(J47="Si",('Listino Offerta'!$F$121-100)/100,0)+IF(K47="Si",('Listino Offerta'!$F$122-100)/100,0)),0)+IF(G47&lt;&gt;0,VLOOKUP(G47,'Listino Offerta'!$A$115:$V$117,4,FALSE),0)+IF(H47&lt;&gt;0,$H47*'Listino Offerta'!$D$118,0)</f>
        <v>0</v>
      </c>
    </row>
    <row r="48" spans="1:23" s="244" customFormat="1" ht="12.75" customHeight="1">
      <c r="A48" s="241">
        <v>18</v>
      </c>
      <c r="B48" s="275">
        <f>IF('Servizi di Sicurezza Perimetr.'!D22&lt;&gt;"SCEN",'Servizi di Sicurezza Perimetr.'!D22,'Servizi di Trasporto Dati'!AF22)</f>
        <v>0</v>
      </c>
      <c r="C48" s="245">
        <f>'Servizi di Sicurezza Perimetr.'!E22</f>
        <v>0</v>
      </c>
      <c r="D48" s="245">
        <f>'Servizi di Sicurezza Perimetr.'!F22</f>
        <v>0</v>
      </c>
      <c r="E48" s="245">
        <f>'Servizi di Sicurezza Perimetr.'!G22</f>
        <v>0</v>
      </c>
      <c r="F48" s="245">
        <f>'Servizi di Sicurezza Perimetr.'!H22</f>
        <v>0</v>
      </c>
      <c r="G48" s="245">
        <f>'Servizi di Sicurezza Perimetr.'!I22</f>
        <v>0</v>
      </c>
      <c r="H48" s="245">
        <f>'Servizi di Sicurezza Perimetr.'!J22</f>
        <v>0</v>
      </c>
      <c r="I48" s="245" t="str">
        <f>IF(AND('Servizi di Sicurezza Perimetr.'!$K22="Si",'Servizi di Sicurezza Perimetr.'!$L22&lt;&gt;"Si"),"Si","")</f>
        <v/>
      </c>
      <c r="J48" s="245" t="str">
        <f>IF(AND('Servizi di Sicurezza Perimetr.'!$K22&lt;&gt;"Si",'Servizi di Sicurezza Perimetr.'!$L22="Si"),"Si","")</f>
        <v/>
      </c>
      <c r="K48" s="245" t="str">
        <f>IF(AND('Servizi di Sicurezza Perimetr.'!$K22="Si",'Servizi di Sicurezza Perimetr.'!$L22="Si"),"Si","")</f>
        <v/>
      </c>
      <c r="L48" s="50">
        <f>IF(B48&lt;&gt;0,VLOOKUP(B48,Listini!$A$60:$V$90,3,FALSE)*(1+IF(I48="Si",(Listini!$E$120-100)/100,0)+IF(K48="Si",(Listini!$E$122-100)/100,0)),0)</f>
        <v>0</v>
      </c>
      <c r="M48" s="50">
        <f>IF(B48&lt;&gt;0,(VLOOKUP(B48,Listini!$A$60:$V$90,4,FALSE)+IF(C48="Si",VLOOKUP(CONCATENATE(B48,"-AACF"),Listini!$A$91:$V$96,4,FALSE),0)+IF(D48="Si",VLOOKUP(CONCATENATE(B48,"-AFM"),Listini!$A$97:$V$102,4,FALSE),0)+IF(E48="Si",VLOOKUP(CONCATENATE(B48,"-VPN"),Listini!$A$103:$V$108,4,FALSE),0)+IF(F48="Si",VLOOKUP(CONCATENATE(B48,"-WAF"),Listini!$A$109:$V$114,4,FALSE),0))*(1+IF(I48="Si",(Listini!$F$120-100)/100,0)+IF(J48="Si",(Listini!$F$121-100)/100,0)+IF(K48="Si",(Listini!$F$122-100)/100,0)),0)+IF(G48&lt;&gt;0,VLOOKUP(G48,Listini!$A$115:$V$117,4,FALSE),0)+IF(H48&lt;&gt;0,$H48*Listini!$D$118,0)</f>
        <v>0</v>
      </c>
      <c r="N48" s="50">
        <f>IF(B48&lt;&gt;0,VLOOKUP(B48,Listini!$A$60:$V$90,7,FALSE)*(1+IF(I48="Si",(Listini!$I$120-100)/100,0)+IF(K48="Si",(Listini!$I$122-100)/100,0)),0)</f>
        <v>0</v>
      </c>
      <c r="O48" s="50">
        <f>IF(B48&lt;&gt;0,(VLOOKUP(B48,Listini!$A$60:$V$90,8,FALSE)+IF(C48="Si",VLOOKUP(CONCATENATE(B48,"-AACF"),Listini!$A$91:$V$96,8,FALSE),0)+IF(D48="Si",VLOOKUP(CONCATENATE(B48,"-AFM"),Listini!$A$97:$V$102,8,FALSE),0)+IF(E48="Si",VLOOKUP(CONCATENATE(B48,"-VPN"),Listini!$A$103:$V$108,8,FALSE),0)+IF(F48="Si",VLOOKUP(CONCATENATE(B48,"-WAF"),Listini!$A$109:$V$114,8,FALSE),0))*(1+IF(I48="Si",(Listini!$J$120-100)/100,0)+IF(J48="Si",(Listini!$J$121-100)/100,0)+IF(K48="Si",(Listini!$J$122-100)/100,0)),0)+IF(G48&lt;&gt;0,VLOOKUP(G48,Listini!$A$115:$V$117,8,FALSE),0)+IF(H48&lt;&gt;0,$H48*Listini!$H$118,0)</f>
        <v>0</v>
      </c>
      <c r="P48" s="50">
        <f>IF(B48&lt;&gt;0,VLOOKUP(B48,Listini!$A$60:$V$90,11,FALSE)*(1+IF(I48="Si",(Listini!$M$120-100)/100,0)+IF(K48="Si",(Listini!$M$122-100)/100,0)),0)</f>
        <v>0</v>
      </c>
      <c r="Q48" s="244">
        <f>IF(B48&lt;&gt;0,(VLOOKUP(B48,Listini!$A$60:$V$90,12,FALSE)+IF(C48="Si",VLOOKUP(CONCATENATE(B48,"-AACF"),Listini!$A$91:$V$96,12,FALSE),0)+IF(D48="Si",VLOOKUP(CONCATENATE(B48,"-AFM"),Listini!$A$97:$V$102,12,FALSE),0)+IF(E48="Si",VLOOKUP(CONCATENATE(B48,"-VPN"),Listini!$A$102:$V$108,12,FALSE),0)+IF(F48="Si",VLOOKUP(CONCATENATE(B48,"-WAF"),Listini!$A$109:$V$114,12,FALSE),0))*(1+IF(I48="Si",(Listini!$N$120-100)/100,0)+IF(J48="Si",(Listini!$N$121-100)/100,0)+IF(K48="Si",(Listini!$N$122-100)/100,0)),0)+IF(G48&lt;&gt;0,VLOOKUP(G48,Listini!$A$115:$V$117,12,FALSE),0)+IF(H48&lt;&gt;0,$H48*Listini!$L$118,0)</f>
        <v>0</v>
      </c>
      <c r="R48" s="244">
        <f>IF(B48&lt;&gt;0,VLOOKUP(B48,Listini!$A$60:$V$90,15,FALSE)*(1+IF(I48="Si",(Listini!$Q$120-100)/100,0)+IF(K48="Si",(Listini!$Q$122-100)/100,0)),0)</f>
        <v>0</v>
      </c>
      <c r="S48" s="244">
        <f>IF(B48&lt;&gt;0,(VLOOKUP(B48,Listini!$A$60:$V$90,16,FALSE)+IF(C48="Si",VLOOKUP(CONCATENATE(B48,"-AACF"),Listini!$A$91:$V$96,16,FALSE),0)+IF(D48="Si",VLOOKUP(CONCATENATE(B48,"-AFM"),Listini!$A$97:$V$102,16,FALSE),0)+IF(E48="Si",VLOOKUP(CONCATENATE(B48,"-VPN"),Listini!$A$103:$V$108,16,FALSE),0)+IF(F48="Si",VLOOKUP(CONCATENATE(B48,"-WAF"),Listini!$A$109:$V$114,16,FALSE),0))*(1+IF(I48="Si",(Listini!$R$120-100)/100,0)+IF(J48="Si",(Listini!$R$121-100)/100,0)+IF(K48="Si",(Listini!$R$122-100)/100,0)),0)+IF(G48&lt;&gt;0,VLOOKUP(G48,Listini!$A$115:$V$117,16,FALSE),0)+IF(H48&lt;&gt;0,$H48*Listini!$P$118,0)</f>
        <v>0</v>
      </c>
      <c r="T48" s="244">
        <f>IF(B48&lt;&gt;0,VLOOKUP(B48,Listini!$A$60:$V$90,19,FALSE)*(1+IF(I48="Si",(Listini!$U$120-100)/100,0)+IF(K48="Si",(Listini!$U$122-100)/100,0)),0)</f>
        <v>0</v>
      </c>
      <c r="U48" s="244">
        <f>IF(B48&lt;&gt;0,(VLOOKUP(B48,Listini!$A$60:$V$90,20,FALSE)+IF(C48="Si",VLOOKUP(CONCATENATE(B48,"-AACF"),Listini!$A$91:$V$96,20,FALSE),0)+IF(D48="Si",VLOOKUP(CONCATENATE(B48,"-AFM"),Listini!$A$97:$V$102,20,FALSE),0)+IF(E48="Si",VLOOKUP(CONCATENATE(B48,"-VPN"),Listini!$A$103:$V$108,20,FALSE),0)+IF(F48="Si",VLOOKUP(CONCATENATE(B48,"-WAF"),Listini!$A$109:$V$114,20,FALSE),0))*(1+IF(I48="Si",(Listini!$V$120-100)/100,0)+IF(J48="Si",(Listini!$V$121-100)/100,0)+IF(K48="Si",(Listini!$V$122-100)/100,0)),0)+IF(G48&lt;&gt;0,VLOOKUP(G48,Listini!$A$115:$V$117,20,FALSE),0)+IF(H48&lt;&gt;0,$H48*Listini!$T$118,0)</f>
        <v>0</v>
      </c>
      <c r="V48" s="244">
        <f>IF(B48&lt;&gt;0,VLOOKUP(B48,'Listino Offerta'!$A$60:$V$90,3,FALSE)*(1+IF(I48="Si",('Listino Offerta'!$E$120-100)/100,0)+IF(K48="Si",('Listino Offerta'!$E$122-100)/100,0)),0)</f>
        <v>0</v>
      </c>
      <c r="W48" s="244">
        <f>IF(B48&lt;&gt;0,(VLOOKUP(B48,'Listino Offerta'!$A$60:$V$90,4,FALSE)+IF(C48="Si",VLOOKUP(CONCATENATE(B48,"-AACF"),'Listino Offerta'!$A$91:$V$96,4,FALSE),0)+IF(D48="Si",VLOOKUP(CONCATENATE(B48,"-AFM"),'Listino Offerta'!$A$97:$V$102,4,FALSE),0)+IF(E48="Si",VLOOKUP(CONCATENATE(B48,"-VPN"),'Listino Offerta'!$A$103:$V$108,4,FALSE),0)+IF(F48="Si",VLOOKUP(CONCATENATE(B48,"-WAF"),'Listino Offerta'!$A$109:$V$114,4,FALSE),0))*(1+IF(I48="Si",('Listino Offerta'!$F$120-100)/100,0)+IF(J48="Si",('Listino Offerta'!$F$121-100)/100,0)+IF(K48="Si",('Listino Offerta'!$F$122-100)/100,0)),0)+IF(G48&lt;&gt;0,VLOOKUP(G48,'Listino Offerta'!$A$115:$V$117,4,FALSE),0)+IF(H48&lt;&gt;0,$H48*'Listino Offerta'!$D$118,0)</f>
        <v>0</v>
      </c>
    </row>
    <row r="49" spans="1:23" s="244" customFormat="1" ht="12.75" customHeight="1">
      <c r="A49" s="241">
        <v>19</v>
      </c>
      <c r="B49" s="275">
        <f>IF('Servizi di Sicurezza Perimetr.'!D23&lt;&gt;"SCEN",'Servizi di Sicurezza Perimetr.'!D23,'Servizi di Trasporto Dati'!AF23)</f>
        <v>0</v>
      </c>
      <c r="C49" s="245">
        <f>'Servizi di Sicurezza Perimetr.'!E23</f>
        <v>0</v>
      </c>
      <c r="D49" s="245">
        <f>'Servizi di Sicurezza Perimetr.'!F23</f>
        <v>0</v>
      </c>
      <c r="E49" s="245">
        <f>'Servizi di Sicurezza Perimetr.'!G23</f>
        <v>0</v>
      </c>
      <c r="F49" s="245">
        <f>'Servizi di Sicurezza Perimetr.'!H23</f>
        <v>0</v>
      </c>
      <c r="G49" s="245">
        <f>'Servizi di Sicurezza Perimetr.'!I23</f>
        <v>0</v>
      </c>
      <c r="H49" s="245">
        <f>'Servizi di Sicurezza Perimetr.'!J23</f>
        <v>0</v>
      </c>
      <c r="I49" s="245" t="str">
        <f>IF(AND('Servizi di Sicurezza Perimetr.'!$K23="Si",'Servizi di Sicurezza Perimetr.'!$L23&lt;&gt;"Si"),"Si","")</f>
        <v/>
      </c>
      <c r="J49" s="245" t="str">
        <f>IF(AND('Servizi di Sicurezza Perimetr.'!$K23&lt;&gt;"Si",'Servizi di Sicurezza Perimetr.'!$L23="Si"),"Si","")</f>
        <v/>
      </c>
      <c r="K49" s="245" t="str">
        <f>IF(AND('Servizi di Sicurezza Perimetr.'!$K23="Si",'Servizi di Sicurezza Perimetr.'!$L23="Si"),"Si","")</f>
        <v/>
      </c>
      <c r="L49" s="50">
        <f>IF(B49&lt;&gt;0,VLOOKUP(B49,Listini!$A$60:$V$90,3,FALSE)*(1+IF(I49="Si",(Listini!$E$120-100)/100,0)+IF(K49="Si",(Listini!$E$122-100)/100,0)),0)</f>
        <v>0</v>
      </c>
      <c r="M49" s="50">
        <f>IF(B49&lt;&gt;0,(VLOOKUP(B49,Listini!$A$60:$V$90,4,FALSE)+IF(C49="Si",VLOOKUP(CONCATENATE(B49,"-AACF"),Listini!$A$91:$V$96,4,FALSE),0)+IF(D49="Si",VLOOKUP(CONCATENATE(B49,"-AFM"),Listini!$A$97:$V$102,4,FALSE),0)+IF(E49="Si",VLOOKUP(CONCATENATE(B49,"-VPN"),Listini!$A$103:$V$108,4,FALSE),0)+IF(F49="Si",VLOOKUP(CONCATENATE(B49,"-WAF"),Listini!$A$109:$V$114,4,FALSE),0))*(1+IF(I49="Si",(Listini!$F$120-100)/100,0)+IF(J49="Si",(Listini!$F$121-100)/100,0)+IF(K49="Si",(Listini!$F$122-100)/100,0)),0)+IF(G49&lt;&gt;0,VLOOKUP(G49,Listini!$A$115:$V$117,4,FALSE),0)+IF(H49&lt;&gt;0,$H49*Listini!$D$118,0)</f>
        <v>0</v>
      </c>
      <c r="N49" s="50">
        <f>IF(B49&lt;&gt;0,VLOOKUP(B49,Listini!$A$60:$V$90,7,FALSE)*(1+IF(I49="Si",(Listini!$I$120-100)/100,0)+IF(K49="Si",(Listini!$I$122-100)/100,0)),0)</f>
        <v>0</v>
      </c>
      <c r="O49" s="50">
        <f>IF(B49&lt;&gt;0,(VLOOKUP(B49,Listini!$A$60:$V$90,8,FALSE)+IF(C49="Si",VLOOKUP(CONCATENATE(B49,"-AACF"),Listini!$A$91:$V$96,8,FALSE),0)+IF(D49="Si",VLOOKUP(CONCATENATE(B49,"-AFM"),Listini!$A$97:$V$102,8,FALSE),0)+IF(E49="Si",VLOOKUP(CONCATENATE(B49,"-VPN"),Listini!$A$103:$V$108,8,FALSE),0)+IF(F49="Si",VLOOKUP(CONCATENATE(B49,"-WAF"),Listini!$A$109:$V$114,8,FALSE),0))*(1+IF(I49="Si",(Listini!$J$120-100)/100,0)+IF(J49="Si",(Listini!$J$121-100)/100,0)+IF(K49="Si",(Listini!$J$122-100)/100,0)),0)+IF(G49&lt;&gt;0,VLOOKUP(G49,Listini!$A$115:$V$117,8,FALSE),0)+IF(H49&lt;&gt;0,$H49*Listini!$H$118,0)</f>
        <v>0</v>
      </c>
      <c r="P49" s="50">
        <f>IF(B49&lt;&gt;0,VLOOKUP(B49,Listini!$A$60:$V$90,11,FALSE)*(1+IF(I49="Si",(Listini!$M$120-100)/100,0)+IF(K49="Si",(Listini!$M$122-100)/100,0)),0)</f>
        <v>0</v>
      </c>
      <c r="Q49" s="244">
        <f>IF(B49&lt;&gt;0,(VLOOKUP(B49,Listini!$A$60:$V$90,12,FALSE)+IF(C49="Si",VLOOKUP(CONCATENATE(B49,"-AACF"),Listini!$A$91:$V$96,12,FALSE),0)+IF(D49="Si",VLOOKUP(CONCATENATE(B49,"-AFM"),Listini!$A$97:$V$102,12,FALSE),0)+IF(E49="Si",VLOOKUP(CONCATENATE(B49,"-VPN"),Listini!$A$102:$V$108,12,FALSE),0)+IF(F49="Si",VLOOKUP(CONCATENATE(B49,"-WAF"),Listini!$A$109:$V$114,12,FALSE),0))*(1+IF(I49="Si",(Listini!$N$120-100)/100,0)+IF(J49="Si",(Listini!$N$121-100)/100,0)+IF(K49="Si",(Listini!$N$122-100)/100,0)),0)+IF(G49&lt;&gt;0,VLOOKUP(G49,Listini!$A$115:$V$117,12,FALSE),0)+IF(H49&lt;&gt;0,$H49*Listini!$L$118,0)</f>
        <v>0</v>
      </c>
      <c r="R49" s="244">
        <f>IF(B49&lt;&gt;0,VLOOKUP(B49,Listini!$A$60:$V$90,15,FALSE)*(1+IF(I49="Si",(Listini!$Q$120-100)/100,0)+IF(K49="Si",(Listini!$Q$122-100)/100,0)),0)</f>
        <v>0</v>
      </c>
      <c r="S49" s="244">
        <f>IF(B49&lt;&gt;0,(VLOOKUP(B49,Listini!$A$60:$V$90,16,FALSE)+IF(C49="Si",VLOOKUP(CONCATENATE(B49,"-AACF"),Listini!$A$91:$V$96,16,FALSE),0)+IF(D49="Si",VLOOKUP(CONCATENATE(B49,"-AFM"),Listini!$A$97:$V$102,16,FALSE),0)+IF(E49="Si",VLOOKUP(CONCATENATE(B49,"-VPN"),Listini!$A$103:$V$108,16,FALSE),0)+IF(F49="Si",VLOOKUP(CONCATENATE(B49,"-WAF"),Listini!$A$109:$V$114,16,FALSE),0))*(1+IF(I49="Si",(Listini!$R$120-100)/100,0)+IF(J49="Si",(Listini!$R$121-100)/100,0)+IF(K49="Si",(Listini!$R$122-100)/100,0)),0)+IF(G49&lt;&gt;0,VLOOKUP(G49,Listini!$A$115:$V$117,16,FALSE),0)+IF(H49&lt;&gt;0,$H49*Listini!$P$118,0)</f>
        <v>0</v>
      </c>
      <c r="T49" s="244">
        <f>IF(B49&lt;&gt;0,VLOOKUP(B49,Listini!$A$60:$V$90,19,FALSE)*(1+IF(I49="Si",(Listini!$U$120-100)/100,0)+IF(K49="Si",(Listini!$U$122-100)/100,0)),0)</f>
        <v>0</v>
      </c>
      <c r="U49" s="244">
        <f>IF(B49&lt;&gt;0,(VLOOKUP(B49,Listini!$A$60:$V$90,20,FALSE)+IF(C49="Si",VLOOKUP(CONCATENATE(B49,"-AACF"),Listini!$A$91:$V$96,20,FALSE),0)+IF(D49="Si",VLOOKUP(CONCATENATE(B49,"-AFM"),Listini!$A$97:$V$102,20,FALSE),0)+IF(E49="Si",VLOOKUP(CONCATENATE(B49,"-VPN"),Listini!$A$103:$V$108,20,FALSE),0)+IF(F49="Si",VLOOKUP(CONCATENATE(B49,"-WAF"),Listini!$A$109:$V$114,20,FALSE),0))*(1+IF(I49="Si",(Listini!$V$120-100)/100,0)+IF(J49="Si",(Listini!$V$121-100)/100,0)+IF(K49="Si",(Listini!$V$122-100)/100,0)),0)+IF(G49&lt;&gt;0,VLOOKUP(G49,Listini!$A$115:$V$117,20,FALSE),0)+IF(H49&lt;&gt;0,$H49*Listini!$T$118,0)</f>
        <v>0</v>
      </c>
      <c r="V49" s="244">
        <f>IF(B49&lt;&gt;0,VLOOKUP(B49,'Listino Offerta'!$A$60:$V$90,3,FALSE)*(1+IF(I49="Si",('Listino Offerta'!$E$120-100)/100,0)+IF(K49="Si",('Listino Offerta'!$E$122-100)/100,0)),0)</f>
        <v>0</v>
      </c>
      <c r="W49" s="244">
        <f>IF(B49&lt;&gt;0,(VLOOKUP(B49,'Listino Offerta'!$A$60:$V$90,4,FALSE)+IF(C49="Si",VLOOKUP(CONCATENATE(B49,"-AACF"),'Listino Offerta'!$A$91:$V$96,4,FALSE),0)+IF(D49="Si",VLOOKUP(CONCATENATE(B49,"-AFM"),'Listino Offerta'!$A$97:$V$102,4,FALSE),0)+IF(E49="Si",VLOOKUP(CONCATENATE(B49,"-VPN"),'Listino Offerta'!$A$103:$V$108,4,FALSE),0)+IF(F49="Si",VLOOKUP(CONCATENATE(B49,"-WAF"),'Listino Offerta'!$A$109:$V$114,4,FALSE),0))*(1+IF(I49="Si",('Listino Offerta'!$F$120-100)/100,0)+IF(J49="Si",('Listino Offerta'!$F$121-100)/100,0)+IF(K49="Si",('Listino Offerta'!$F$122-100)/100,0)),0)+IF(G49&lt;&gt;0,VLOOKUP(G49,'Listino Offerta'!$A$115:$V$117,4,FALSE),0)+IF(H49&lt;&gt;0,$H49*'Listino Offerta'!$D$118,0)</f>
        <v>0</v>
      </c>
    </row>
    <row r="50" spans="1:23" s="244" customFormat="1" ht="12.75" customHeight="1">
      <c r="A50" s="241">
        <v>20</v>
      </c>
      <c r="B50" s="275">
        <f>IF('Servizi di Sicurezza Perimetr.'!D24&lt;&gt;"SCEN",'Servizi di Sicurezza Perimetr.'!D24,'Servizi di Trasporto Dati'!AF24)</f>
        <v>0</v>
      </c>
      <c r="C50" s="245">
        <f>'Servizi di Sicurezza Perimetr.'!E24</f>
        <v>0</v>
      </c>
      <c r="D50" s="245">
        <f>'Servizi di Sicurezza Perimetr.'!F24</f>
        <v>0</v>
      </c>
      <c r="E50" s="245">
        <f>'Servizi di Sicurezza Perimetr.'!G24</f>
        <v>0</v>
      </c>
      <c r="F50" s="245">
        <f>'Servizi di Sicurezza Perimetr.'!H24</f>
        <v>0</v>
      </c>
      <c r="G50" s="245">
        <f>'Servizi di Sicurezza Perimetr.'!I24</f>
        <v>0</v>
      </c>
      <c r="H50" s="245">
        <f>'Servizi di Sicurezza Perimetr.'!J24</f>
        <v>0</v>
      </c>
      <c r="I50" s="245" t="str">
        <f>IF(AND('Servizi di Sicurezza Perimetr.'!$K24="Si",'Servizi di Sicurezza Perimetr.'!$L24&lt;&gt;"Si"),"Si","")</f>
        <v/>
      </c>
      <c r="J50" s="245" t="str">
        <f>IF(AND('Servizi di Sicurezza Perimetr.'!$K24&lt;&gt;"Si",'Servizi di Sicurezza Perimetr.'!$L24="Si"),"Si","")</f>
        <v/>
      </c>
      <c r="K50" s="245" t="str">
        <f>IF(AND('Servizi di Sicurezza Perimetr.'!$K24="Si",'Servizi di Sicurezza Perimetr.'!$L24="Si"),"Si","")</f>
        <v/>
      </c>
      <c r="L50" s="50">
        <f>IF(B50&lt;&gt;0,VLOOKUP(B50,Listini!$A$60:$V$90,3,FALSE)*(1+IF(I50="Si",(Listini!$E$120-100)/100,0)+IF(K50="Si",(Listini!$E$122-100)/100,0)),0)</f>
        <v>0</v>
      </c>
      <c r="M50" s="50">
        <f>IF(B50&lt;&gt;0,(VLOOKUP(B50,Listini!$A$60:$V$90,4,FALSE)+IF(C50="Si",VLOOKUP(CONCATENATE(B50,"-AACF"),Listini!$A$91:$V$96,4,FALSE),0)+IF(D50="Si",VLOOKUP(CONCATENATE(B50,"-AFM"),Listini!$A$97:$V$102,4,FALSE),0)+IF(E50="Si",VLOOKUP(CONCATENATE(B50,"-VPN"),Listini!$A$103:$V$108,4,FALSE),0)+IF(F50="Si",VLOOKUP(CONCATENATE(B50,"-WAF"),Listini!$A$109:$V$114,4,FALSE),0))*(1+IF(I50="Si",(Listini!$F$120-100)/100,0)+IF(J50="Si",(Listini!$F$121-100)/100,0)+IF(K50="Si",(Listini!$F$122-100)/100,0)),0)+IF(G50&lt;&gt;0,VLOOKUP(G50,Listini!$A$115:$V$117,4,FALSE),0)+IF(H50&lt;&gt;0,$H50*Listini!$D$118,0)</f>
        <v>0</v>
      </c>
      <c r="N50" s="50">
        <f>IF(B50&lt;&gt;0,VLOOKUP(B50,Listini!$A$60:$V$90,7,FALSE)*(1+IF(I50="Si",(Listini!$I$120-100)/100,0)+IF(K50="Si",(Listini!$I$122-100)/100,0)),0)</f>
        <v>0</v>
      </c>
      <c r="O50" s="50">
        <f>IF(B50&lt;&gt;0,(VLOOKUP(B50,Listini!$A$60:$V$90,8,FALSE)+IF(C50="Si",VLOOKUP(CONCATENATE(B50,"-AACF"),Listini!$A$91:$V$96,8,FALSE),0)+IF(D50="Si",VLOOKUP(CONCATENATE(B50,"-AFM"),Listini!$A$97:$V$102,8,FALSE),0)+IF(E50="Si",VLOOKUP(CONCATENATE(B50,"-VPN"),Listini!$A$103:$V$108,8,FALSE),0)+IF(F50="Si",VLOOKUP(CONCATENATE(B50,"-WAF"),Listini!$A$109:$V$114,8,FALSE),0))*(1+IF(I50="Si",(Listini!$J$120-100)/100,0)+IF(J50="Si",(Listini!$J$121-100)/100,0)+IF(K50="Si",(Listini!$J$122-100)/100,0)),0)+IF(G50&lt;&gt;0,VLOOKUP(G50,Listini!$A$115:$V$117,8,FALSE),0)+IF(H50&lt;&gt;0,$H50*Listini!$H$118,0)</f>
        <v>0</v>
      </c>
      <c r="P50" s="50">
        <f>IF(B50&lt;&gt;0,VLOOKUP(B50,Listini!$A$60:$V$90,11,FALSE)*(1+IF(I50="Si",(Listini!$M$120-100)/100,0)+IF(K50="Si",(Listini!$M$122-100)/100,0)),0)</f>
        <v>0</v>
      </c>
      <c r="Q50" s="244">
        <f>IF(B50&lt;&gt;0,(VLOOKUP(B50,Listini!$A$60:$V$90,12,FALSE)+IF(C50="Si",VLOOKUP(CONCATENATE(B50,"-AACF"),Listini!$A$91:$V$96,12,FALSE),0)+IF(D50="Si",VLOOKUP(CONCATENATE(B50,"-AFM"),Listini!$A$97:$V$102,12,FALSE),0)+IF(E50="Si",VLOOKUP(CONCATENATE(B50,"-VPN"),Listini!$A$102:$V$108,12,FALSE),0)+IF(F50="Si",VLOOKUP(CONCATENATE(B50,"-WAF"),Listini!$A$109:$V$114,12,FALSE),0))*(1+IF(I50="Si",(Listini!$N$120-100)/100,0)+IF(J50="Si",(Listini!$N$121-100)/100,0)+IF(K50="Si",(Listini!$N$122-100)/100,0)),0)+IF(G50&lt;&gt;0,VLOOKUP(G50,Listini!$A$115:$V$117,12,FALSE),0)+IF(H50&lt;&gt;0,$H50*Listini!$L$118,0)</f>
        <v>0</v>
      </c>
      <c r="R50" s="244">
        <f>IF(B50&lt;&gt;0,VLOOKUP(B50,Listini!$A$60:$V$90,15,FALSE)*(1+IF(I50="Si",(Listini!$Q$120-100)/100,0)+IF(K50="Si",(Listini!$Q$122-100)/100,0)),0)</f>
        <v>0</v>
      </c>
      <c r="S50" s="244">
        <f>IF(B50&lt;&gt;0,(VLOOKUP(B50,Listini!$A$60:$V$90,16,FALSE)+IF(C50="Si",VLOOKUP(CONCATENATE(B50,"-AACF"),Listini!$A$91:$V$96,16,FALSE),0)+IF(D50="Si",VLOOKUP(CONCATENATE(B50,"-AFM"),Listini!$A$97:$V$102,16,FALSE),0)+IF(E50="Si",VLOOKUP(CONCATENATE(B50,"-VPN"),Listini!$A$103:$V$108,16,FALSE),0)+IF(F50="Si",VLOOKUP(CONCATENATE(B50,"-WAF"),Listini!$A$109:$V$114,16,FALSE),0))*(1+IF(I50="Si",(Listini!$R$120-100)/100,0)+IF(J50="Si",(Listini!$R$121-100)/100,0)+IF(K50="Si",(Listini!$R$122-100)/100,0)),0)+IF(G50&lt;&gt;0,VLOOKUP(G50,Listini!$A$115:$V$117,16,FALSE),0)+IF(H50&lt;&gt;0,$H50*Listini!$P$118,0)</f>
        <v>0</v>
      </c>
      <c r="T50" s="244">
        <f>IF(B50&lt;&gt;0,VLOOKUP(B50,Listini!$A$60:$V$90,19,FALSE)*(1+IF(I50="Si",(Listini!$U$120-100)/100,0)+IF(K50="Si",(Listini!$U$122-100)/100,0)),0)</f>
        <v>0</v>
      </c>
      <c r="U50" s="244">
        <f>IF(B50&lt;&gt;0,(VLOOKUP(B50,Listini!$A$60:$V$90,20,FALSE)+IF(C50="Si",VLOOKUP(CONCATENATE(B50,"-AACF"),Listini!$A$91:$V$96,20,FALSE),0)+IF(D50="Si",VLOOKUP(CONCATENATE(B50,"-AFM"),Listini!$A$97:$V$102,20,FALSE),0)+IF(E50="Si",VLOOKUP(CONCATENATE(B50,"-VPN"),Listini!$A$103:$V$108,20,FALSE),0)+IF(F50="Si",VLOOKUP(CONCATENATE(B50,"-WAF"),Listini!$A$109:$V$114,20,FALSE),0))*(1+IF(I50="Si",(Listini!$V$120-100)/100,0)+IF(J50="Si",(Listini!$V$121-100)/100,0)+IF(K50="Si",(Listini!$V$122-100)/100,0)),0)+IF(G50&lt;&gt;0,VLOOKUP(G50,Listini!$A$115:$V$117,20,FALSE),0)+IF(H50&lt;&gt;0,$H50*Listini!$T$118,0)</f>
        <v>0</v>
      </c>
      <c r="V50" s="244">
        <f>IF(B50&lt;&gt;0,VLOOKUP(B50,'Listino Offerta'!$A$60:$V$90,3,FALSE)*(1+IF(I50="Si",('Listino Offerta'!$E$120-100)/100,0)+IF(K50="Si",('Listino Offerta'!$E$122-100)/100,0)),0)</f>
        <v>0</v>
      </c>
      <c r="W50" s="244">
        <f>IF(B50&lt;&gt;0,(VLOOKUP(B50,'Listino Offerta'!$A$60:$V$90,4,FALSE)+IF(C50="Si",VLOOKUP(CONCATENATE(B50,"-AACF"),'Listino Offerta'!$A$91:$V$96,4,FALSE),0)+IF(D50="Si",VLOOKUP(CONCATENATE(B50,"-AFM"),'Listino Offerta'!$A$97:$V$102,4,FALSE),0)+IF(E50="Si",VLOOKUP(CONCATENATE(B50,"-VPN"),'Listino Offerta'!$A$103:$V$108,4,FALSE),0)+IF(F50="Si",VLOOKUP(CONCATENATE(B50,"-WAF"),'Listino Offerta'!$A$109:$V$114,4,FALSE),0))*(1+IF(I50="Si",('Listino Offerta'!$F$120-100)/100,0)+IF(J50="Si",('Listino Offerta'!$F$121-100)/100,0)+IF(K50="Si",('Listino Offerta'!$F$122-100)/100,0)),0)+IF(G50&lt;&gt;0,VLOOKUP(G50,'Listino Offerta'!$A$115:$V$117,4,FALSE),0)+IF(H50&lt;&gt;0,$H50*'Listino Offerta'!$D$118,0)</f>
        <v>0</v>
      </c>
    </row>
    <row r="51" spans="1:23" s="244" customFormat="1" ht="12.75" customHeight="1">
      <c r="A51" s="414" t="s">
        <v>584</v>
      </c>
      <c r="B51" s="415"/>
      <c r="C51" s="415"/>
      <c r="D51" s="415"/>
      <c r="E51" s="415"/>
      <c r="F51" s="415"/>
      <c r="G51" s="415"/>
      <c r="H51" s="415"/>
      <c r="I51" s="415"/>
      <c r="J51" s="415"/>
      <c r="K51" s="275">
        <f>'Servizi di Sicurezza Perimetr.'!F25</f>
        <v>0</v>
      </c>
      <c r="L51" s="50">
        <v>0</v>
      </c>
      <c r="M51" s="50">
        <f>IF($K$51="Si",Listini!$D$119,0)</f>
        <v>0</v>
      </c>
      <c r="N51" s="50">
        <v>0</v>
      </c>
      <c r="O51" s="50">
        <f>IF($K$51="Si",Listini!$H$119,0)</f>
        <v>0</v>
      </c>
      <c r="P51" s="50">
        <v>0</v>
      </c>
      <c r="Q51" s="244">
        <f>IF($K$51="Si",Listini!$L$119,0)</f>
        <v>0</v>
      </c>
      <c r="R51" s="244">
        <v>0</v>
      </c>
      <c r="S51" s="244">
        <f>IF($K$51="Si",Listini!$P$119,0)</f>
        <v>0</v>
      </c>
      <c r="T51" s="244">
        <v>0</v>
      </c>
      <c r="U51" s="244">
        <f>IF($K$51="Si",Listini!$T$119,0)</f>
        <v>0</v>
      </c>
      <c r="V51" s="244">
        <v>0</v>
      </c>
      <c r="W51" s="244">
        <f>IF($K$51="SI",'Listino Offerta'!$D$119,0)</f>
        <v>0</v>
      </c>
    </row>
    <row r="52" spans="1:23" s="244" customFormat="1" ht="12.75" customHeight="1">
      <c r="A52" s="245"/>
      <c r="B52" s="245"/>
      <c r="C52" s="245"/>
      <c r="D52" s="245"/>
      <c r="E52" s="245"/>
      <c r="F52" s="245"/>
      <c r="G52" s="245"/>
      <c r="H52" s="245"/>
      <c r="I52" s="245"/>
      <c r="J52" s="245"/>
      <c r="K52" s="245"/>
      <c r="L52" s="245"/>
      <c r="M52" s="245"/>
    </row>
    <row r="53" spans="1:23" s="244" customFormat="1" ht="12.75" customHeight="1">
      <c r="A53" s="412" t="s">
        <v>217</v>
      </c>
      <c r="B53" s="413"/>
      <c r="C53" s="413"/>
      <c r="D53" s="413"/>
      <c r="E53" s="413"/>
      <c r="F53" s="416"/>
      <c r="G53" s="245"/>
      <c r="H53" s="245"/>
      <c r="I53" s="408" t="s">
        <v>455</v>
      </c>
      <c r="J53" s="408"/>
      <c r="K53" s="410" t="s">
        <v>456</v>
      </c>
      <c r="L53" s="408"/>
      <c r="M53" s="410" t="s">
        <v>510</v>
      </c>
      <c r="N53" s="408"/>
      <c r="O53" s="410" t="s">
        <v>457</v>
      </c>
      <c r="P53" s="408"/>
      <c r="Q53" s="410" t="s">
        <v>511</v>
      </c>
      <c r="R53" s="408"/>
      <c r="S53" s="408" t="s">
        <v>470</v>
      </c>
      <c r="T53" s="408"/>
    </row>
    <row r="54" spans="1:23" s="248" customFormat="1" ht="63.75">
      <c r="A54" s="238" t="s">
        <v>212</v>
      </c>
      <c r="B54" s="239" t="s">
        <v>213</v>
      </c>
      <c r="C54" s="248" t="s">
        <v>452</v>
      </c>
      <c r="D54" s="247" t="s">
        <v>28</v>
      </c>
      <c r="E54" s="247" t="s">
        <v>110</v>
      </c>
      <c r="F54" s="247" t="s">
        <v>77</v>
      </c>
      <c r="G54" s="247" t="s">
        <v>22</v>
      </c>
      <c r="H54" s="239" t="s">
        <v>447</v>
      </c>
      <c r="I54" s="240" t="s">
        <v>25</v>
      </c>
      <c r="J54" s="240" t="s">
        <v>454</v>
      </c>
      <c r="K54" s="240" t="s">
        <v>25</v>
      </c>
      <c r="L54" s="240" t="s">
        <v>454</v>
      </c>
      <c r="M54" s="240" t="s">
        <v>25</v>
      </c>
      <c r="N54" s="240" t="s">
        <v>454</v>
      </c>
      <c r="O54" s="240" t="s">
        <v>25</v>
      </c>
      <c r="P54" s="240" t="s">
        <v>454</v>
      </c>
      <c r="Q54" s="240" t="s">
        <v>25</v>
      </c>
      <c r="R54" s="240" t="s">
        <v>454</v>
      </c>
      <c r="S54" s="240" t="s">
        <v>25</v>
      </c>
      <c r="T54" s="240" t="s">
        <v>454</v>
      </c>
    </row>
    <row r="55" spans="1:23" s="244" customFormat="1" ht="12.75" customHeight="1">
      <c r="A55" s="238">
        <f>'Servizi Com. Evoluta - VoIP'!B6</f>
        <v>1</v>
      </c>
      <c r="B55" s="238">
        <f>'Servizi Com. Evoluta - VoIP'!D6</f>
        <v>0</v>
      </c>
      <c r="C55" s="244">
        <f>'Servizi Com. Evoluta - VoIP'!$E$6</f>
        <v>0</v>
      </c>
      <c r="D55" s="238">
        <f>'Servizi Com. Evoluta - VoIP'!F6</f>
        <v>0</v>
      </c>
      <c r="E55" s="238">
        <f>'Servizi Com. Evoluta - VoIP'!G6</f>
        <v>0</v>
      </c>
      <c r="F55" s="238" t="str">
        <f>IF(AND('Servizi Com. Evoluta - VoIP'!$H$6="Si",'Servizi Com. Evoluta - VoIP'!$I$6&lt;&gt;"Si"),"Si","")</f>
        <v/>
      </c>
      <c r="G55" s="238" t="str">
        <f>IF(AND('Servizi Com. Evoluta - VoIP'!$H$6&lt;&gt;"Si",'Servizi Com. Evoluta - VoIP'!$I$6="Si"),"Si","")</f>
        <v/>
      </c>
      <c r="H55" s="238" t="str">
        <f>IF(AND('Servizi Com. Evoluta - VoIP'!$H$6="Si",'Servizi Com. Evoluta - VoIP'!$I$6="Si"),"Si","")</f>
        <v/>
      </c>
      <c r="I55" s="50">
        <f>IF(B55&lt;&gt;0,VLOOKUP(B55,Listini!$A$123:$V$126,3,FALSE)*C55*(1+IF(F55="Si",(Listini!$E$170-100)/100,0)+IF(H55="Si",(Listini!$E$172-100)/100,0)),0)</f>
        <v>0</v>
      </c>
      <c r="J55" s="50">
        <f>IF(B55&lt;&gt;0,(VLOOKUP(B55,Listini!$A$123:$V$126,4,FALSE)*C55+IF(D55&lt;&gt;0,VLOOKUP(CONCATENATE(B55,"-ST"),Listini!$A$156:$AD$159,4,FALSE)*D55,0)+IF(E55&lt;&gt;0,VLOOKUP(CONCATENATE(B55,"-BR"),Listini!$A$160:$V$163,4,FALSE)*E55,0))*(1+IF(F55="Si",(Listini!$F$170-100)/100,0)+IF(G55="Si",(Listini!$F$171-100)/100,0)+IF(H55="Si",(Listini!$F$172-100)/100,0)),0)</f>
        <v>0</v>
      </c>
      <c r="K55" s="50">
        <f>IF(B55&lt;&gt;0,VLOOKUP(B55,Listini!$A$123:$V$126,7,FALSE)*C55*(1+IF(F55="Si",(Listini!$I$170-100)/100,0)+IF(H55="Si",(Listini!$I$172-100)/100,0)),0)</f>
        <v>0</v>
      </c>
      <c r="L55" s="50">
        <f>IF(B55&lt;&gt;0,(VLOOKUP(B55,Listini!$A$123:$V$126,8,FALSE)*C55+IF(D55&lt;&gt;0,VLOOKUP(CONCATENATE(B55,"-ST"),Listini!$A$156:$V$159,8,FALSE)*D55,0)+IF(E55&lt;&gt;0,VLOOKUP(CONCATENATE(B55,"-BR"),Listini!$A$160:$V$163,8,FALSE)*E55,0))*(1+IF(F55="Si",(Listini!$J$170-100)/100,0)+IF(G55="Si",(Listini!$J$171-100)/100,0)+IF(H55="Si",(Listini!$J$172-100)/100,0)),0)</f>
        <v>0</v>
      </c>
      <c r="M55" s="50">
        <f>IF(B55&lt;&gt;0,VLOOKUP(B55,Listini!$A$123:$V$126,11,FALSE)*C55*(1+IF(F55="Si",(Listini!$M$170-100)/100,0)+IF(H55="Si",(Listini!$M$172-100)/100,0)),0)</f>
        <v>0</v>
      </c>
      <c r="N55" s="244">
        <f>IF(B55&lt;&gt;0,(VLOOKUP(B55,Listini!$A$123:$V$126,12,FALSE)*C55+IF(D55&lt;&gt;0,VLOOKUP(CONCATENATE(B55,"-ST"),Listini!$A$156:$V$159,12,FALSE)*D55,0)+IF(E55&lt;&gt;0,VLOOKUP(CONCATENATE(B55,"-BR"),Listini!$A$160:$V$163,12,FALSE)*E55,0))*(1+IF(F55="Si",(Listini!$N$170-100)/100,0)+IF(G55="Si",(Listini!$N$171-100)/100,0)+IF(H55="Si",(Listini!$N$172-100)/100,0)),0)</f>
        <v>0</v>
      </c>
      <c r="O55" s="244">
        <f>IF(B55&lt;&gt;0,VLOOKUP(B55,Listini!$A$123:$V$126,15,FALSE)*C55*(1+IF(F55="Si",(Listini!$Q$170-100)/100,0)+IF(H55="Si",(Listini!$Q$172-100)/100,0)),0)</f>
        <v>0</v>
      </c>
      <c r="P55" s="244">
        <f>IF(B55&lt;&gt;0,(VLOOKUP(B55,Listini!$A$123:$V$126,16,FALSE)*C55+IF(D55&lt;&gt;0,VLOOKUP(CONCATENATE(B55,"-ST"),Listini!$A$156:$V$159,16,FALSE)*D55,0)+IF(E55&lt;&gt;0,VLOOKUP(CONCATENATE(B55,"-BR"),Listini!$A$160:$V$163,16,FALSE)*E55,0))*(1+IF(F55="Si",(Listini!$R$170-100)/100,0)+IF(G55="Si",(Listini!$R$171-100)/100,0)+IF(H55="Si",(Listini!$R$172-100)/100,0)),0)</f>
        <v>0</v>
      </c>
      <c r="Q55" s="244">
        <f>IF(B55&lt;&gt;0,VLOOKUP(B55,Listini!$A$123:$V$126,19,FALSE)*C55*(1+IF(F55="Si",(Listini!$U$170-100)/100,0)+IF(H55="Si",(Listini!$U$172-100)/100,0)),0)</f>
        <v>0</v>
      </c>
      <c r="R55" s="244">
        <f>IF(B55&lt;&gt;0,(VLOOKUP(B55,Listini!$A$123:$V$126,20,FALSE)*C55+IF(D55&lt;&gt;0,VLOOKUP(CONCATENATE(B55,"-ST"),Listini!$A$156:$V$159,20,FALSE)*D55,0)+IF(E55&lt;&gt;0,VLOOKUP(CONCATENATE(B55,"-BR"),Listini!$A$160:$V$163,20,FALSE)*E55,0))*(1+IF(F55="Si",(Listini!$V$170-100)/100,0)+IF(G55="Si",(Listini!$V$171-100)/100,0)+IF(H55="Si",(Listini!$V$172-100)/100,0)),0)</f>
        <v>0</v>
      </c>
      <c r="S55" s="244">
        <f>IF(B55&lt;&gt;0,VLOOKUP(B55,'Listino Offerta'!$A$123:$V$126,3,FALSE)*C55*(1+IF(F55="Si",('Listino Offerta'!$E$170-100)/100,0)+IF(H55="Si",('Listino Offerta'!$E$172-100)/100,0)),0)</f>
        <v>0</v>
      </c>
      <c r="T55" s="244">
        <f>IF(B55&lt;&gt;0,(VLOOKUP(B55,'Listino Offerta'!$A$123:$F$126,4,FALSE)*C55+IF(D55&lt;&gt;0,VLOOKUP(CONCATENATE(B55,"-ST"),'Listino Offerta'!$A$156:$V$159,4,FALSE)*D55,0)+IF(E55&lt;&gt;0,VLOOKUP(CONCATENATE(B55,"-BR"),'Listino Offerta'!$A$160:$V$163,4,FALSE)*E55,0))*(1+IF(F55="Si",('Listino Offerta'!$F$170-100)/100,0)+IF(G55="Si",('Listino Offerta'!$F$171-100)/100,0)+IF(H55="Si",('Listino Offerta'!$F$172-100)/100,0)),0)</f>
        <v>0</v>
      </c>
    </row>
    <row r="56" spans="1:23" s="244" customFormat="1" ht="12.75" customHeight="1">
      <c r="A56" s="245"/>
      <c r="B56" s="245"/>
      <c r="C56" s="245"/>
      <c r="D56" s="245"/>
      <c r="E56" s="245"/>
      <c r="F56" s="245"/>
      <c r="G56" s="245"/>
      <c r="H56" s="245"/>
      <c r="I56" s="245"/>
      <c r="J56" s="245"/>
      <c r="K56" s="245"/>
      <c r="L56" s="245"/>
      <c r="M56" s="245"/>
    </row>
    <row r="57" spans="1:23" s="244" customFormat="1" ht="12.75" customHeight="1">
      <c r="A57" s="412" t="s">
        <v>218</v>
      </c>
      <c r="B57" s="413"/>
      <c r="C57" s="416"/>
      <c r="D57" s="245"/>
      <c r="E57" s="408" t="s">
        <v>455</v>
      </c>
      <c r="F57" s="408"/>
      <c r="G57" s="410" t="s">
        <v>456</v>
      </c>
      <c r="H57" s="408"/>
      <c r="I57" s="410" t="s">
        <v>510</v>
      </c>
      <c r="J57" s="408"/>
      <c r="K57" s="410" t="s">
        <v>457</v>
      </c>
      <c r="L57" s="408"/>
      <c r="M57" s="410" t="s">
        <v>511</v>
      </c>
      <c r="N57" s="408"/>
      <c r="O57" s="408" t="s">
        <v>470</v>
      </c>
      <c r="P57" s="408"/>
    </row>
    <row r="58" spans="1:23" s="248" customFormat="1" ht="51">
      <c r="A58" s="238" t="s">
        <v>212</v>
      </c>
      <c r="B58" s="239" t="s">
        <v>213</v>
      </c>
      <c r="C58" s="248" t="s">
        <v>449</v>
      </c>
      <c r="D58" s="247" t="s">
        <v>22</v>
      </c>
      <c r="E58" s="240" t="s">
        <v>25</v>
      </c>
      <c r="F58" s="240" t="s">
        <v>454</v>
      </c>
      <c r="G58" s="240" t="s">
        <v>25</v>
      </c>
      <c r="H58" s="240" t="s">
        <v>454</v>
      </c>
      <c r="I58" s="240" t="s">
        <v>25</v>
      </c>
      <c r="J58" s="240" t="s">
        <v>454</v>
      </c>
      <c r="K58" s="240" t="s">
        <v>25</v>
      </c>
      <c r="L58" s="240" t="s">
        <v>454</v>
      </c>
      <c r="M58" s="240" t="s">
        <v>25</v>
      </c>
      <c r="N58" s="240" t="s">
        <v>454</v>
      </c>
      <c r="O58" s="240" t="s">
        <v>25</v>
      </c>
      <c r="P58" s="240" t="s">
        <v>454</v>
      </c>
    </row>
    <row r="59" spans="1:23" s="244" customFormat="1" ht="12.75" customHeight="1">
      <c r="A59" s="245">
        <f>'Servizi Com. Evoluta - VoIP'!B6</f>
        <v>1</v>
      </c>
      <c r="B59" s="245">
        <f>'Servizi Com. Evoluta - VoIP'!J6</f>
        <v>0</v>
      </c>
      <c r="C59" s="244">
        <f>'Servizi Com. Evoluta - VoIP'!$K$6</f>
        <v>0</v>
      </c>
      <c r="D59" s="245">
        <f>'Servizi Com. Evoluta - VoIP'!L6</f>
        <v>0</v>
      </c>
      <c r="E59" s="244">
        <f>IF(B59&lt;&gt;0,VLOOKUP(B59,Listini!$A$127:$V$130,3,FALSE)*C59,0)</f>
        <v>0</v>
      </c>
      <c r="F59" s="244">
        <f>IF(B59&lt;&gt;0,(VLOOKUP(B59,Listini!$A$127:$V$130,4,FALSE)*C59)*(1+IF(D59="Si",(Listini!$F$171-100)/100,0)),0)</f>
        <v>0</v>
      </c>
      <c r="G59" s="244">
        <f>IF(B59&lt;&gt;0,VLOOKUP(B59,Listini!$A$127:$V$130,7,FALSE)*C59,0)</f>
        <v>0</v>
      </c>
      <c r="H59" s="244">
        <f>IF(B59&lt;&gt;0,(VLOOKUP(B59,Listini!$A$127:$V$130,8,FALSE)*C59)*(1+IF(D59="Si",(Listini!$J$171-100)/100,0)),0)</f>
        <v>0</v>
      </c>
      <c r="I59" s="244">
        <f>IF(B59&lt;&gt;0,VLOOKUP(B59,Listini!$A$127:$V$130,11,FALSE)*C59,0)</f>
        <v>0</v>
      </c>
      <c r="J59" s="244">
        <f>IF(B59&lt;&gt;0,(VLOOKUP(B59,Listini!$A$127:$V$130,12,FALSE)*C59)*(1+IF(D59="Si",(Listini!$N$171-100)/100,0)),0)</f>
        <v>0</v>
      </c>
      <c r="K59" s="244">
        <f>IF(B59&lt;&gt;0,VLOOKUP(B59,Listini!$A$127:$V$130,15,FALSE)*C59,0)</f>
        <v>0</v>
      </c>
      <c r="L59" s="244">
        <f>IF(B59&lt;&gt;0,(VLOOKUP(B59,Listini!$A$127:$V$130,16,FALSE)*C59)*(1+IF(D59="Si",(Listini!$R$171-100)/100,0)),0)</f>
        <v>0</v>
      </c>
      <c r="M59" s="244">
        <f>IF(B59&lt;&gt;0,VLOOKUP(B59,Listini!$A$127:$V$130,19,FALSE)*C59,0)</f>
        <v>0</v>
      </c>
      <c r="N59" s="244">
        <f>IF(B59&lt;&gt;0,(VLOOKUP(B59,Listini!$A$127:$V$130,20,FALSE)*C59)*(1+IF(D59="Si",(Listini!$V$171-100)/100,0)),0)</f>
        <v>0</v>
      </c>
      <c r="O59" s="244">
        <f>IF(B59&lt;&gt;0,VLOOKUP(B59,'Listino Offerta'!$A$127:$V$130,3,FALSE)*C59,0)</f>
        <v>0</v>
      </c>
      <c r="P59" s="244">
        <f>IF(B59&lt;&gt;0,(VLOOKUP(B59,'Listino Offerta'!$A$127:$V$130,4,FALSE)*C59)*(1+IF(D59="Si",('Listino Offerta'!$F$171-100)/100,0)),0)</f>
        <v>0</v>
      </c>
    </row>
    <row r="60" spans="1:23" s="244" customFormat="1" ht="12.75" customHeight="1">
      <c r="A60" s="245"/>
      <c r="B60" s="245"/>
      <c r="C60" s="245"/>
      <c r="D60" s="245"/>
      <c r="E60" s="245"/>
      <c r="F60" s="245"/>
      <c r="G60" s="245"/>
      <c r="H60" s="245"/>
      <c r="I60" s="245"/>
      <c r="J60" s="245"/>
      <c r="K60" s="245"/>
      <c r="L60" s="245"/>
      <c r="M60" s="245"/>
    </row>
    <row r="61" spans="1:23" s="244" customFormat="1" ht="12.75" customHeight="1">
      <c r="A61" s="412" t="s">
        <v>219</v>
      </c>
      <c r="B61" s="413"/>
      <c r="C61" s="416"/>
      <c r="D61" s="408" t="s">
        <v>455</v>
      </c>
      <c r="E61" s="408"/>
      <c r="F61" s="410" t="s">
        <v>456</v>
      </c>
      <c r="G61" s="408"/>
      <c r="H61" s="410" t="s">
        <v>510</v>
      </c>
      <c r="I61" s="408"/>
      <c r="J61" s="410" t="s">
        <v>457</v>
      </c>
      <c r="K61" s="408"/>
      <c r="L61" s="410" t="s">
        <v>511</v>
      </c>
      <c r="M61" s="408"/>
      <c r="N61" s="408" t="s">
        <v>470</v>
      </c>
      <c r="O61" s="408"/>
    </row>
    <row r="62" spans="1:23" s="248" customFormat="1" ht="51">
      <c r="A62" s="239" t="s">
        <v>213</v>
      </c>
      <c r="B62" s="247" t="s">
        <v>452</v>
      </c>
      <c r="C62" s="247" t="s">
        <v>22</v>
      </c>
      <c r="D62" s="240" t="s">
        <v>25</v>
      </c>
      <c r="E62" s="240" t="s">
        <v>454</v>
      </c>
      <c r="F62" s="240" t="s">
        <v>25</v>
      </c>
      <c r="G62" s="240" t="s">
        <v>454</v>
      </c>
      <c r="H62" s="240" t="s">
        <v>25</v>
      </c>
      <c r="I62" s="240" t="s">
        <v>454</v>
      </c>
      <c r="J62" s="240" t="s">
        <v>25</v>
      </c>
      <c r="K62" s="240" t="s">
        <v>454</v>
      </c>
      <c r="L62" s="240" t="s">
        <v>25</v>
      </c>
      <c r="M62" s="240" t="s">
        <v>454</v>
      </c>
      <c r="N62" s="240" t="s">
        <v>25</v>
      </c>
      <c r="O62" s="240" t="s">
        <v>454</v>
      </c>
    </row>
    <row r="63" spans="1:23" s="244" customFormat="1" ht="12.75" customHeight="1">
      <c r="A63" s="245" t="str">
        <f>'Servizi Com. Evoluta - VoIP'!B10</f>
        <v>ENIP-1</v>
      </c>
      <c r="B63" s="245">
        <f>'Servizi Com. Evoluta - VoIP'!C10</f>
        <v>0</v>
      </c>
      <c r="C63" s="245">
        <f>'Servizi Com. Evoluta - VoIP'!D10</f>
        <v>0</v>
      </c>
      <c r="D63" s="50">
        <f>Listini!C139*'Riepilogo Fabbisogni'!B63</f>
        <v>0</v>
      </c>
      <c r="E63" s="50">
        <f>Listini!D139*'Riepilogo Fabbisogni'!B63*(1+IF(C63="Si",(Listini!$F$171-100)/100,0))</f>
        <v>0</v>
      </c>
      <c r="F63" s="50">
        <f>Listini!G139*'Riepilogo Fabbisogni'!B63</f>
        <v>0</v>
      </c>
      <c r="G63" s="50">
        <f>Listini!H139*'Riepilogo Fabbisogni'!B63*(1+IF(C63="Si",(Listini!$J$171-100)/100,0))</f>
        <v>0</v>
      </c>
      <c r="H63" s="50">
        <f>Listini!K139*'Riepilogo Fabbisogni'!B63</f>
        <v>0</v>
      </c>
      <c r="I63" s="50">
        <f>Listini!L139*'Riepilogo Fabbisogni'!B63*(1+IF(C63="Si",(Listini!$N$171-100)/100,0))</f>
        <v>0</v>
      </c>
      <c r="J63" s="50">
        <f>Listini!O139*'Riepilogo Fabbisogni'!B63</f>
        <v>0</v>
      </c>
      <c r="K63" s="50">
        <f>Listini!P139*'Riepilogo Fabbisogni'!B63*(1+IF(C63="Si",(Listini!$R$171-100)/100,0))</f>
        <v>0</v>
      </c>
      <c r="L63" s="50">
        <f>Listini!S139*'Riepilogo Fabbisogni'!B63</f>
        <v>0</v>
      </c>
      <c r="M63" s="50">
        <f>Listini!T139*'Riepilogo Fabbisogni'!B63*(1+IF(C63="Si",(Listini!$V$171-100)/100,0))</f>
        <v>0</v>
      </c>
      <c r="N63" s="244">
        <f>'Listino Offerta'!C139*'Riepilogo Fabbisogni'!B63</f>
        <v>0</v>
      </c>
      <c r="O63" s="244">
        <f>'Listino Offerta'!D139*'Riepilogo Fabbisogni'!B63*(1+IF(C63="Si",('Listino Offerta'!$F$171-100)/100,0))</f>
        <v>0</v>
      </c>
    </row>
    <row r="64" spans="1:23" s="244" customFormat="1" ht="12.75" customHeight="1">
      <c r="A64" s="245" t="str">
        <f>'Servizi Com. Evoluta - VoIP'!B11</f>
        <v>ENIP-2</v>
      </c>
      <c r="B64" s="245">
        <f>'Servizi Com. Evoluta - VoIP'!C11</f>
        <v>0</v>
      </c>
      <c r="C64" s="245">
        <f>'Servizi Com. Evoluta - VoIP'!D11</f>
        <v>0</v>
      </c>
      <c r="D64" s="50">
        <f>Listini!C140*'Riepilogo Fabbisogni'!B64</f>
        <v>0</v>
      </c>
      <c r="E64" s="50">
        <f>Listini!D140*'Riepilogo Fabbisogni'!B64*(1+IF(C64="Si",(Listini!$F$171-100)/100,0))</f>
        <v>0</v>
      </c>
      <c r="F64" s="50">
        <f>Listini!G140*'Riepilogo Fabbisogni'!B64</f>
        <v>0</v>
      </c>
      <c r="G64" s="50">
        <f>Listini!H140*'Riepilogo Fabbisogni'!B64*(1+IF(C64="Si",(Listini!$J$171-100)/100,0))</f>
        <v>0</v>
      </c>
      <c r="H64" s="50">
        <f>Listini!K140*'Riepilogo Fabbisogni'!B64</f>
        <v>0</v>
      </c>
      <c r="I64" s="50">
        <f>Listini!L140*'Riepilogo Fabbisogni'!B64*(1+IF(C64="Si",(Listini!$N$171-100)/100,0))</f>
        <v>0</v>
      </c>
      <c r="J64" s="50">
        <f>Listini!O140*'Riepilogo Fabbisogni'!B64</f>
        <v>0</v>
      </c>
      <c r="K64" s="50">
        <f>Listini!P140*'Riepilogo Fabbisogni'!B64*(1+IF(C64="Si",(Listini!$R$171-100)/100,0))</f>
        <v>0</v>
      </c>
      <c r="L64" s="50">
        <f>Listini!S140*'Riepilogo Fabbisogni'!B64</f>
        <v>0</v>
      </c>
      <c r="M64" s="50">
        <f>Listini!T140*'Riepilogo Fabbisogni'!B64*(1+IF(C64="Si",(Listini!$V$171-100)/100,0))</f>
        <v>0</v>
      </c>
      <c r="N64" s="244">
        <f>'Listino Offerta'!C140*'Riepilogo Fabbisogni'!B64</f>
        <v>0</v>
      </c>
      <c r="O64" s="244">
        <f>'Listino Offerta'!D140*'Riepilogo Fabbisogni'!B64*(1+IF(C64="Si",('Listino Offerta'!$F$171-100)/100,0))</f>
        <v>0</v>
      </c>
    </row>
    <row r="65" spans="1:21" s="244" customFormat="1" ht="12.75" customHeight="1">
      <c r="A65" s="245" t="str">
        <f>'Servizi Com. Evoluta - VoIP'!B12</f>
        <v>ENIP-3</v>
      </c>
      <c r="B65" s="245">
        <f>'Servizi Com. Evoluta - VoIP'!C12</f>
        <v>0</v>
      </c>
      <c r="C65" s="245">
        <f>'Servizi Com. Evoluta - VoIP'!D12</f>
        <v>0</v>
      </c>
      <c r="D65" s="50">
        <f>Listini!C141*'Riepilogo Fabbisogni'!B65</f>
        <v>0</v>
      </c>
      <c r="E65" s="50">
        <f>Listini!D141*'Riepilogo Fabbisogni'!B65*(1+IF(C65="Si",(Listini!$F$171-100)/100,0))</f>
        <v>0</v>
      </c>
      <c r="F65" s="50">
        <f>Listini!G141*'Riepilogo Fabbisogni'!B65</f>
        <v>0</v>
      </c>
      <c r="G65" s="50">
        <f>Listini!H141*'Riepilogo Fabbisogni'!B65*(1+IF(C65="Si",(Listini!$J$171-100)/100,0))</f>
        <v>0</v>
      </c>
      <c r="H65" s="50">
        <f>Listini!K141*'Riepilogo Fabbisogni'!B65</f>
        <v>0</v>
      </c>
      <c r="I65" s="50">
        <f>Listini!L141*'Riepilogo Fabbisogni'!B65*(1+IF(C65="Si",(Listini!$N$171-100)/100,0))</f>
        <v>0</v>
      </c>
      <c r="J65" s="50">
        <f>Listini!O141*'Riepilogo Fabbisogni'!B65</f>
        <v>0</v>
      </c>
      <c r="K65" s="50">
        <f>Listini!P141*'Riepilogo Fabbisogni'!B65*(1+IF(C65="Si",(Listini!$R$171-100)/100,0))</f>
        <v>0</v>
      </c>
      <c r="L65" s="50">
        <f>Listini!S141*'Riepilogo Fabbisogni'!B65</f>
        <v>0</v>
      </c>
      <c r="M65" s="50">
        <f>Listini!T141*'Riepilogo Fabbisogni'!B65*(1+IF(C65="Si",(Listini!$V$171-100)/100,0))</f>
        <v>0</v>
      </c>
      <c r="N65" s="244">
        <f>'Listino Offerta'!C141*'Riepilogo Fabbisogni'!B65</f>
        <v>0</v>
      </c>
      <c r="O65" s="244">
        <f>'Listino Offerta'!D141*'Riepilogo Fabbisogni'!B65*(1+IF(C65="Si",('Listino Offerta'!$F$171-100)/100,0))</f>
        <v>0</v>
      </c>
    </row>
    <row r="66" spans="1:21" s="244" customFormat="1" ht="12.75" customHeight="1">
      <c r="A66" s="245" t="str">
        <f>'Servizi Com. Evoluta - VoIP'!B13</f>
        <v>ENIP-4</v>
      </c>
      <c r="B66" s="245">
        <f>'Servizi Com. Evoluta - VoIP'!C13</f>
        <v>0</v>
      </c>
      <c r="C66" s="245">
        <f>'Servizi Com. Evoluta - VoIP'!D13</f>
        <v>0</v>
      </c>
      <c r="D66" s="50">
        <f>Listini!C142*'Riepilogo Fabbisogni'!B66</f>
        <v>0</v>
      </c>
      <c r="E66" s="50">
        <f>Listini!D142*'Riepilogo Fabbisogni'!B66*(1+IF(C66="Si",(Listini!$F$171-100)/100,0))</f>
        <v>0</v>
      </c>
      <c r="F66" s="50">
        <f>Listini!G142*'Riepilogo Fabbisogni'!B66</f>
        <v>0</v>
      </c>
      <c r="G66" s="50">
        <f>Listini!H142*'Riepilogo Fabbisogni'!B66*(1+IF(C66="Si",(Listini!$J$171-100)/100,0))</f>
        <v>0</v>
      </c>
      <c r="H66" s="50">
        <f>Listini!K142*'Riepilogo Fabbisogni'!B66</f>
        <v>0</v>
      </c>
      <c r="I66" s="50">
        <f>Listini!L142*'Riepilogo Fabbisogni'!B66*(1+IF(C66="Si",(Listini!$N$171-100)/100,0))</f>
        <v>0</v>
      </c>
      <c r="J66" s="50">
        <f>Listini!O142*'Riepilogo Fabbisogni'!B66</f>
        <v>0</v>
      </c>
      <c r="K66" s="50">
        <f>Listini!P142*'Riepilogo Fabbisogni'!B66*(1+IF(C66="Si",(Listini!$R$171-100)/100,0))</f>
        <v>0</v>
      </c>
      <c r="L66" s="50">
        <f>Listini!S142*'Riepilogo Fabbisogni'!B66</f>
        <v>0</v>
      </c>
      <c r="M66" s="50">
        <f>Listini!T142*'Riepilogo Fabbisogni'!B66*(1+IF(C66="Si",(Listini!$V$171-100)/100,0))</f>
        <v>0</v>
      </c>
      <c r="N66" s="244">
        <f>'Listino Offerta'!C142*'Riepilogo Fabbisogni'!B66</f>
        <v>0</v>
      </c>
      <c r="O66" s="244">
        <f>'Listino Offerta'!D142*'Riepilogo Fabbisogni'!B66*(1+IF(C66="Si",('Listino Offerta'!$F$171-100)/100,0))</f>
        <v>0</v>
      </c>
    </row>
    <row r="67" spans="1:21" s="244" customFormat="1" ht="12.75" customHeight="1">
      <c r="A67" s="245" t="str">
        <f>'Servizi Com. Evoluta - VoIP'!B14</f>
        <v>ENIP-5</v>
      </c>
      <c r="B67" s="245">
        <f>'Servizi Com. Evoluta - VoIP'!C14</f>
        <v>0</v>
      </c>
      <c r="C67" s="245">
        <f>'Servizi Com. Evoluta - VoIP'!D14</f>
        <v>0</v>
      </c>
      <c r="D67" s="50">
        <f>Listini!C143*'Riepilogo Fabbisogni'!B67</f>
        <v>0</v>
      </c>
      <c r="E67" s="50">
        <f>Listini!D143*'Riepilogo Fabbisogni'!B67*(1+IF(C67="Si",(Listini!$F$171-100)/100,0))</f>
        <v>0</v>
      </c>
      <c r="F67" s="50">
        <f>Listini!G143*'Riepilogo Fabbisogni'!B67</f>
        <v>0</v>
      </c>
      <c r="G67" s="50">
        <f>Listini!H143*'Riepilogo Fabbisogni'!B67*(1+IF(C67="Si",(Listini!$J$171-100)/100,0))</f>
        <v>0</v>
      </c>
      <c r="H67" s="50">
        <f>Listini!K143*'Riepilogo Fabbisogni'!B67</f>
        <v>0</v>
      </c>
      <c r="I67" s="50">
        <f>Listini!L143*'Riepilogo Fabbisogni'!B67*(1+IF(C67="Si",(Listini!$N$171-100)/100,0))</f>
        <v>0</v>
      </c>
      <c r="J67" s="50">
        <f>Listini!O143*'Riepilogo Fabbisogni'!B67</f>
        <v>0</v>
      </c>
      <c r="K67" s="50">
        <f>Listini!P143*'Riepilogo Fabbisogni'!B67*(1+IF(C67="Si",(Listini!$R$171-100)/100,0))</f>
        <v>0</v>
      </c>
      <c r="L67" s="50">
        <f>Listini!S143*'Riepilogo Fabbisogni'!B67</f>
        <v>0</v>
      </c>
      <c r="M67" s="50">
        <f>Listini!T143*'Riepilogo Fabbisogni'!B67*(1+IF(C67="Si",(Listini!$V$171-100)/100,0))</f>
        <v>0</v>
      </c>
      <c r="N67" s="244">
        <f>'Listino Offerta'!C143*'Riepilogo Fabbisogni'!B67</f>
        <v>0</v>
      </c>
      <c r="O67" s="244">
        <f>'Listino Offerta'!D143*'Riepilogo Fabbisogni'!B67*(1+IF(C67="Si",('Listino Offerta'!$F$171-100)/100,0))</f>
        <v>0</v>
      </c>
    </row>
    <row r="68" spans="1:21" s="244" customFormat="1" ht="12.75" customHeight="1">
      <c r="A68" s="245" t="str">
        <f>'Servizi Com. Evoluta - VoIP'!B15</f>
        <v>ENIP-6</v>
      </c>
      <c r="B68" s="245">
        <f>'Servizi Com. Evoluta - VoIP'!C15</f>
        <v>0</v>
      </c>
      <c r="C68" s="245">
        <f>'Servizi Com. Evoluta - VoIP'!D15</f>
        <v>0</v>
      </c>
      <c r="D68" s="50">
        <f>Listini!C144*'Riepilogo Fabbisogni'!B68</f>
        <v>0</v>
      </c>
      <c r="E68" s="50">
        <f>Listini!D144*'Riepilogo Fabbisogni'!B68*(1+IF(C68="Si",(Listini!$F$171-100)/100,0))</f>
        <v>0</v>
      </c>
      <c r="F68" s="50">
        <f>Listini!G144*'Riepilogo Fabbisogni'!B68</f>
        <v>0</v>
      </c>
      <c r="G68" s="50">
        <f>Listini!H144*'Riepilogo Fabbisogni'!B68*(1+IF(C68="Si",(Listini!$J$171-100)/100,0))</f>
        <v>0</v>
      </c>
      <c r="H68" s="50">
        <f>Listini!K144*'Riepilogo Fabbisogni'!B68</f>
        <v>0</v>
      </c>
      <c r="I68" s="50">
        <f>Listini!L144*'Riepilogo Fabbisogni'!B68*(1+IF(C68="Si",(Listini!$N$171-100)/100,0))</f>
        <v>0</v>
      </c>
      <c r="J68" s="50">
        <f>Listini!O144*'Riepilogo Fabbisogni'!B68</f>
        <v>0</v>
      </c>
      <c r="K68" s="50">
        <f>Listini!P144*'Riepilogo Fabbisogni'!B68*(1+IF(C68="Si",(Listini!$R$171-100)/100,0))</f>
        <v>0</v>
      </c>
      <c r="L68" s="50">
        <f>Listini!S144*'Riepilogo Fabbisogni'!B68</f>
        <v>0</v>
      </c>
      <c r="M68" s="50">
        <f>Listini!T144*'Riepilogo Fabbisogni'!B68*(1+IF(C68="Si",(Listini!$V$171-100)/100,0))</f>
        <v>0</v>
      </c>
      <c r="N68" s="244">
        <f>'Listino Offerta'!C144*'Riepilogo Fabbisogni'!B68</f>
        <v>0</v>
      </c>
      <c r="O68" s="244">
        <f>'Listino Offerta'!D144*'Riepilogo Fabbisogni'!B68*(1+IF(C68="Si",('Listino Offerta'!$F$171-100)/100,0))</f>
        <v>0</v>
      </c>
    </row>
    <row r="69" spans="1:21" s="244" customFormat="1" ht="12.75" customHeight="1">
      <c r="A69" s="245" t="str">
        <f>'Servizi Com. Evoluta - VoIP'!B16</f>
        <v>ENIP-7</v>
      </c>
      <c r="B69" s="245">
        <f>'Servizi Com. Evoluta - VoIP'!C16</f>
        <v>0</v>
      </c>
      <c r="C69" s="245">
        <f>'Servizi Com. Evoluta - VoIP'!D16</f>
        <v>0</v>
      </c>
      <c r="D69" s="50">
        <f>Listini!C145*'Riepilogo Fabbisogni'!B69</f>
        <v>0</v>
      </c>
      <c r="E69" s="50">
        <f>Listini!D145*'Riepilogo Fabbisogni'!B69*(1+IF(C69="Si",(Listini!$F$171-100)/100,0))</f>
        <v>0</v>
      </c>
      <c r="F69" s="50">
        <f>Listini!G145*'Riepilogo Fabbisogni'!B69</f>
        <v>0</v>
      </c>
      <c r="G69" s="50">
        <f>Listini!H145*'Riepilogo Fabbisogni'!B69*(1+IF(C69="Si",(Listini!$J$171-100)/100,0))</f>
        <v>0</v>
      </c>
      <c r="H69" s="50">
        <f>Listini!K145*'Riepilogo Fabbisogni'!B69</f>
        <v>0</v>
      </c>
      <c r="I69" s="50">
        <f>Listini!L145*'Riepilogo Fabbisogni'!B69*(1+IF(C69="Si",(Listini!$N$171-100)/100,0))</f>
        <v>0</v>
      </c>
      <c r="J69" s="50">
        <f>Listini!O145*'Riepilogo Fabbisogni'!B69</f>
        <v>0</v>
      </c>
      <c r="K69" s="50">
        <f>Listini!P145*'Riepilogo Fabbisogni'!B69*(1+IF(C69="Si",(Listini!$R$171-100)/100,0))</f>
        <v>0</v>
      </c>
      <c r="L69" s="50">
        <f>Listini!S145*'Riepilogo Fabbisogni'!B69</f>
        <v>0</v>
      </c>
      <c r="M69" s="50">
        <f>Listini!T145*'Riepilogo Fabbisogni'!B69*(1+IF(C69="Si",(Listini!$V$171-100)/100,0))</f>
        <v>0</v>
      </c>
      <c r="N69" s="244">
        <f>'Listino Offerta'!C145*'Riepilogo Fabbisogni'!B69</f>
        <v>0</v>
      </c>
      <c r="O69" s="244">
        <f>'Listino Offerta'!D145*'Riepilogo Fabbisogni'!B69*(1+IF(C69="Si",('Listino Offerta'!$F$171-100)/100,0))</f>
        <v>0</v>
      </c>
    </row>
    <row r="70" spans="1:21" s="244" customFormat="1" ht="12.75" customHeight="1">
      <c r="A70" s="245" t="str">
        <f>'Servizi Com. Evoluta - VoIP'!B17</f>
        <v>ENIP-8</v>
      </c>
      <c r="B70" s="245">
        <f>'Servizi Com. Evoluta - VoIP'!C17</f>
        <v>0</v>
      </c>
      <c r="C70" s="245">
        <f>'Servizi Com. Evoluta - VoIP'!D17</f>
        <v>0</v>
      </c>
      <c r="D70" s="50">
        <f>Listini!C146*'Riepilogo Fabbisogni'!B70</f>
        <v>0</v>
      </c>
      <c r="E70" s="50">
        <f>Listini!D146*'Riepilogo Fabbisogni'!B70*(1+IF(C70="Si",(Listini!$F$171-100)/100,0))</f>
        <v>0</v>
      </c>
      <c r="F70" s="50">
        <f>Listini!G146*'Riepilogo Fabbisogni'!B70</f>
        <v>0</v>
      </c>
      <c r="G70" s="50">
        <f>Listini!H146*'Riepilogo Fabbisogni'!B70*(1+IF(C70="Si",(Listini!$J$171-100)/100,0))</f>
        <v>0</v>
      </c>
      <c r="H70" s="50">
        <f>Listini!K146*'Riepilogo Fabbisogni'!B70</f>
        <v>0</v>
      </c>
      <c r="I70" s="50">
        <f>Listini!L146*'Riepilogo Fabbisogni'!B70*(1+IF(C70="Si",(Listini!$N$171-100)/100,0))</f>
        <v>0</v>
      </c>
      <c r="J70" s="50">
        <f>Listini!O146*'Riepilogo Fabbisogni'!B70</f>
        <v>0</v>
      </c>
      <c r="K70" s="50">
        <f>Listini!P146*'Riepilogo Fabbisogni'!B70*(1+IF(C70="Si",(Listini!$R$171-100)/100,0))</f>
        <v>0</v>
      </c>
      <c r="L70" s="50">
        <f>Listini!S146*'Riepilogo Fabbisogni'!B70</f>
        <v>0</v>
      </c>
      <c r="M70" s="50">
        <f>Listini!T146*'Riepilogo Fabbisogni'!B70*(1+IF(C70="Si",(Listini!$V$171-100)/100,0))</f>
        <v>0</v>
      </c>
      <c r="N70" s="244">
        <f>'Listino Offerta'!C146*'Riepilogo Fabbisogni'!B70</f>
        <v>0</v>
      </c>
      <c r="O70" s="244">
        <f>'Listino Offerta'!D146*'Riepilogo Fabbisogni'!B70*(1+IF(C70="Si",('Listino Offerta'!$F$171-100)/100,0))</f>
        <v>0</v>
      </c>
    </row>
    <row r="71" spans="1:21" s="244" customFormat="1" ht="12.75" customHeight="1">
      <c r="A71" s="245" t="str">
        <f>'Servizi Com. Evoluta - VoIP'!B18</f>
        <v>ENIP-9</v>
      </c>
      <c r="B71" s="245">
        <f>'Servizi Com. Evoluta - VoIP'!C18</f>
        <v>0</v>
      </c>
      <c r="C71" s="245">
        <f>'Servizi Com. Evoluta - VoIP'!D18</f>
        <v>0</v>
      </c>
      <c r="D71" s="50">
        <f>Listini!C147*'Riepilogo Fabbisogni'!B71</f>
        <v>0</v>
      </c>
      <c r="E71" s="50">
        <f>Listini!D147*'Riepilogo Fabbisogni'!B71*(1+IF(C71="Si",(Listini!$F$171-100)/100,0))</f>
        <v>0</v>
      </c>
      <c r="F71" s="50">
        <f>Listini!G147*'Riepilogo Fabbisogni'!B71</f>
        <v>0</v>
      </c>
      <c r="G71" s="50">
        <f>Listini!H147*'Riepilogo Fabbisogni'!B71*(1+IF(C71="Si",(Listini!$J$171-100)/100,0))</f>
        <v>0</v>
      </c>
      <c r="H71" s="50">
        <f>Listini!K147*'Riepilogo Fabbisogni'!B71</f>
        <v>0</v>
      </c>
      <c r="I71" s="50">
        <f>Listini!L147*'Riepilogo Fabbisogni'!B71*(1+IF(C71="Si",(Listini!$N$171-100)/100,0))</f>
        <v>0</v>
      </c>
      <c r="J71" s="50">
        <f>Listini!O147*'Riepilogo Fabbisogni'!B71</f>
        <v>0</v>
      </c>
      <c r="K71" s="50">
        <f>Listini!P147*'Riepilogo Fabbisogni'!B71*(1+IF(C71="Si",(Listini!$R$171-100)/100,0))</f>
        <v>0</v>
      </c>
      <c r="L71" s="50">
        <f>Listini!S147*'Riepilogo Fabbisogni'!B71</f>
        <v>0</v>
      </c>
      <c r="M71" s="50">
        <f>Listini!T147*'Riepilogo Fabbisogni'!B71*(1+IF(C71="Si",(Listini!$V$171-100)/100,0))</f>
        <v>0</v>
      </c>
      <c r="N71" s="244">
        <f>'Listino Offerta'!C147*'Riepilogo Fabbisogni'!B71</f>
        <v>0</v>
      </c>
      <c r="O71" s="244">
        <f>'Listino Offerta'!D147*'Riepilogo Fabbisogni'!B71*(1+IF(C71="Si",('Listino Offerta'!$F$171-100)/100,0))</f>
        <v>0</v>
      </c>
    </row>
    <row r="72" spans="1:21" s="244" customFormat="1" ht="12.75" customHeight="1">
      <c r="A72" s="245"/>
      <c r="B72" s="245"/>
      <c r="C72" s="245"/>
      <c r="D72" s="245"/>
      <c r="E72" s="245"/>
      <c r="F72" s="245"/>
      <c r="G72" s="245"/>
      <c r="H72" s="245"/>
      <c r="I72" s="245"/>
      <c r="J72" s="245"/>
      <c r="K72" s="245"/>
      <c r="L72" s="245"/>
      <c r="M72" s="245"/>
    </row>
    <row r="73" spans="1:21" s="244" customFormat="1" ht="12.75" customHeight="1">
      <c r="A73" s="412" t="s">
        <v>220</v>
      </c>
      <c r="B73" s="413"/>
      <c r="C73" s="413"/>
      <c r="D73" s="413"/>
      <c r="E73" s="416"/>
      <c r="F73" s="245"/>
      <c r="G73" s="245"/>
      <c r="H73" s="408" t="s">
        <v>455</v>
      </c>
      <c r="I73" s="408"/>
      <c r="J73" s="410" t="s">
        <v>456</v>
      </c>
      <c r="K73" s="408"/>
      <c r="L73" s="410" t="s">
        <v>510</v>
      </c>
      <c r="M73" s="408"/>
      <c r="N73" s="410" t="s">
        <v>457</v>
      </c>
      <c r="O73" s="408"/>
      <c r="P73" s="410" t="s">
        <v>511</v>
      </c>
      <c r="Q73" s="408"/>
      <c r="R73" s="408" t="s">
        <v>470</v>
      </c>
      <c r="S73" s="408"/>
    </row>
    <row r="74" spans="1:21" s="248" customFormat="1" ht="63.75">
      <c r="A74" s="238" t="s">
        <v>212</v>
      </c>
      <c r="B74" s="239" t="s">
        <v>213</v>
      </c>
      <c r="C74" s="248" t="s">
        <v>452</v>
      </c>
      <c r="D74" s="247" t="s">
        <v>110</v>
      </c>
      <c r="E74" s="247" t="s">
        <v>77</v>
      </c>
      <c r="F74" s="247" t="s">
        <v>22</v>
      </c>
      <c r="G74" s="239" t="s">
        <v>447</v>
      </c>
      <c r="H74" s="240" t="s">
        <v>25</v>
      </c>
      <c r="I74" s="240" t="s">
        <v>454</v>
      </c>
      <c r="J74" s="240" t="s">
        <v>25</v>
      </c>
      <c r="K74" s="240" t="s">
        <v>454</v>
      </c>
      <c r="L74" s="240" t="s">
        <v>25</v>
      </c>
      <c r="M74" s="240" t="s">
        <v>454</v>
      </c>
      <c r="N74" s="240" t="s">
        <v>25</v>
      </c>
      <c r="O74" s="240" t="s">
        <v>454</v>
      </c>
      <c r="P74" s="240" t="s">
        <v>25</v>
      </c>
      <c r="Q74" s="240" t="s">
        <v>454</v>
      </c>
      <c r="R74" s="240" t="s">
        <v>25</v>
      </c>
      <c r="S74" s="240" t="s">
        <v>454</v>
      </c>
    </row>
    <row r="75" spans="1:21" s="244" customFormat="1" ht="12.75" customHeight="1">
      <c r="A75" s="245">
        <v>1</v>
      </c>
      <c r="B75" s="245">
        <f>'Servizi Com. Evoluta - VoIP'!D24</f>
        <v>0</v>
      </c>
      <c r="C75" s="244">
        <f>'Servizi Com. Evoluta - VoIP'!E24</f>
        <v>0</v>
      </c>
      <c r="D75" s="245">
        <f>'Servizi Com. Evoluta - VoIP'!F24</f>
        <v>0</v>
      </c>
      <c r="E75" s="242" t="str">
        <f>IF(AND('Servizi Com. Evoluta - VoIP'!G24="Si",'Servizi Com. Evoluta - VoIP'!H24&lt;&gt;"Si"),"Si","")</f>
        <v/>
      </c>
      <c r="F75" s="242" t="str">
        <f>IF(AND('Servizi Com. Evoluta - VoIP'!G24&lt;&gt;"Si",'Servizi Com. Evoluta - VoIP'!H24="Si"),"Si","")</f>
        <v/>
      </c>
      <c r="G75" s="242" t="str">
        <f>IF(AND('Servizi Com. Evoluta - VoIP'!G24="Si",'Servizi Com. Evoluta - VoIP'!H24="Si"),"Si","")</f>
        <v/>
      </c>
      <c r="H75" s="50">
        <f>IF(B75&lt;&gt;0,VLOOKUP(B75,Listini!$A$135:$V$138,3,FALSE)*C75*(1+IF(E75="Si",(Listini!$E$170-100)/100,0)+IF(G75="Si",(Listini!$E$172-100)/100,0)),0)</f>
        <v>0</v>
      </c>
      <c r="I75" s="50">
        <f>IF(B75&lt;&gt;0,(VLOOKUP(B75,Listini!$A$135:$V$138,4,FALSE)*C75+IF(D75&lt;&gt;0,VLOOKUP(CONCATENATE(B75,"-BR"),Listini!$A$164:$V$167,4,FALSE)*D75,0))*(1+IF(E75="Si",(Listini!$F$170-100)/100,0)+IF(F75="Si",(Listini!$F$171-100)/100,0)+IF(G75="Si",(Listini!$F$172-100)/100,0)),0)</f>
        <v>0</v>
      </c>
      <c r="J75" s="50">
        <f>IF(B75&lt;&gt;0,VLOOKUP(B75,Listini!$A$135:$V$138,7,FALSE)*C75*(1+IF(E75="Si",(Listini!$I$170-100)/100,0)+IF(G75="Si",(Listini!$I$172-100)/100,0)),0)</f>
        <v>0</v>
      </c>
      <c r="K75" s="50">
        <f>IF(B75&lt;&gt;0,(VLOOKUP(B75,Listini!$A$135:$V$138,8,FALSE)*C75+IF(D75&lt;&gt;0,VLOOKUP(CONCATENATE(B75,"-BR"),Listini!$A$164:$V$167,8,FALSE)*D75,0))*(1+IF(E75="Si",(Listini!$J$170-100)/100,0)+IF(F75="Si",(Listini!$J$171-100)/100,0)+IF(G75="Si",(Listini!$J$172-100)/100,0)),0)</f>
        <v>0</v>
      </c>
      <c r="L75" s="50">
        <f>IF(B75&lt;&gt;0,VLOOKUP(B75,Listini!$A$135:$V$138,11,FALSE)*C75*(1+IF(E75="Si",(Listini!$M$170-100)/100,0)+IF(G75="Si",(Listini!$M$172-100)/100,0)),0)</f>
        <v>0</v>
      </c>
      <c r="M75" s="50">
        <f>IF(B75&lt;&gt;0,(VLOOKUP(B75,Listini!$A$135:$V$138,12,FALSE)*C75+IF(D75&lt;&gt;0,VLOOKUP(CONCATENATE(B75,"-BR"),Listini!$A$164:$V$167,12,FALSE)*D75,0))*(1+IF(E75="Si",(Listini!$N$170-100)/100,0)+IF(F75="Si",(Listini!$N$171-100)/100,0)+IF(G75="Si",(Listini!$N$172-100)/100,0)),0)</f>
        <v>0</v>
      </c>
      <c r="N75" s="50">
        <f>IF(B75&lt;&gt;0,VLOOKUP(B75,Listini!$A$135:$V$138,15,FALSE)*C75*(1+IF(E75="Si",(Listini!$Q$170-100)/100,0)+IF(G75="Si",(Listini!$Q$172-100)/100,0)),0)</f>
        <v>0</v>
      </c>
      <c r="O75" s="50">
        <f>IF(B75&lt;&gt;0,(VLOOKUP(B75,Listini!$A$135:$V$138,16,FALSE)*C75+IF(D75&lt;&gt;0,VLOOKUP(CONCATENATE(B75,"-BR"),Listini!$A$164:$V$167,16,FALSE)*D75,0))*(1+IF(E75="Si",(Listini!$R$170-100)/100,0)+IF(F75="Si",(Listini!$R$171-100)/100,0)+IF(G75="Si",(Listini!$R$172-100)/100,0)),0)</f>
        <v>0</v>
      </c>
      <c r="P75" s="50">
        <f>IF(B75&lt;&gt;0,VLOOKUP(B75,Listini!$A$135:$V$138,19,FALSE)*C75*(1+IF(E75="Si",(Listini!$U$170-100)/100,0)+IF(G75="Si",(Listini!$U$172-100)/100,0)),0)</f>
        <v>0</v>
      </c>
      <c r="Q75" s="50">
        <f>IF(B75&lt;&gt;0,(VLOOKUP(B75,Listini!$A$135:$V$138,20,FALSE)*C75+IF(D75&lt;&gt;0,VLOOKUP(CONCATENATE(B75,"-BR"),Listini!$A$164:$V$167,20,FALSE)*D75,0))*(1+IF(E75="Si",(Listini!$V$170-100)/100,0)+IF(F75="Si",(Listini!$V$171-100)/100,0)+IF(G75="Si",(Listini!$V$172-100)/100,0)),0)</f>
        <v>0</v>
      </c>
      <c r="R75" s="50">
        <f>IF(B75&lt;&gt;0,VLOOKUP(B75,'Listino Offerta'!$A$135:$V$138,3,FALSE)*C75*(1+IF(E75="Si",('Listino Offerta'!$E$170-100)/100,0)+IF(G75="Si",('Listino Offerta'!$E$172-100)/100,0)),0)</f>
        <v>0</v>
      </c>
      <c r="S75" s="50">
        <f>IF(B75&lt;&gt;0,(VLOOKUP(B75,'Listino Offerta'!$A$135:$AD$138,4,FALSE)*C75+IF(D75&lt;&gt;0,VLOOKUP(CONCATENATE(B75,"-BR"),'Listino Offerta'!$A$164:$V$167,4,FALSE)*D75,0))*(1+IF(E75="Si",('Listino Offerta'!$F$170-100)/100,0)+IF(F75="Si",('Listino Offerta'!$F$171-100)/100,0)+IF(G75="Si",('Listino Offerta'!$F$172-100)/100,0)),0)</f>
        <v>0</v>
      </c>
      <c r="T75" s="50"/>
      <c r="U75" s="50"/>
    </row>
    <row r="76" spans="1:21" s="244" customFormat="1" ht="12.75" customHeight="1">
      <c r="A76" s="245">
        <v>2</v>
      </c>
      <c r="B76" s="245">
        <f>'Servizi Com. Evoluta - VoIP'!D25</f>
        <v>0</v>
      </c>
      <c r="C76" s="244">
        <f>'Servizi Com. Evoluta - VoIP'!E25</f>
        <v>0</v>
      </c>
      <c r="D76" s="245">
        <f>'Servizi Com. Evoluta - VoIP'!F25</f>
        <v>0</v>
      </c>
      <c r="E76" s="242" t="str">
        <f>IF(AND('Servizi Com. Evoluta - VoIP'!G25="Si",'Servizi Com. Evoluta - VoIP'!H25&lt;&gt;"Si"),"Si","")</f>
        <v/>
      </c>
      <c r="F76" s="242" t="str">
        <f>IF(AND('Servizi Com. Evoluta - VoIP'!G25&lt;&gt;"Si",'Servizi Com. Evoluta - VoIP'!H25="Si"),"Si","")</f>
        <v/>
      </c>
      <c r="G76" s="242" t="str">
        <f>IF(AND('Servizi Com. Evoluta - VoIP'!G25="Si",'Servizi Com. Evoluta - VoIP'!H25="Si"),"Si","")</f>
        <v/>
      </c>
      <c r="H76" s="50">
        <f>IF(B76&lt;&gt;0,VLOOKUP(B76,Listini!$A$135:$V$138,3,FALSE)*C76*(1+IF(E76="Si",(Listini!$E$170-100)/100,0)+IF(G76="Si",(Listini!$E$172-100)/100,0)),0)</f>
        <v>0</v>
      </c>
      <c r="I76" s="50">
        <f>IF(B76&lt;&gt;0,(VLOOKUP(B76,Listini!$A$135:$V$138,4,FALSE)*C76+IF(D76&lt;&gt;0,VLOOKUP(CONCATENATE(B76,"-BR"),Listini!$A$164:$V$167,4,FALSE)*D76,0))*(1+IF(E76="Si",(Listini!$F$170-100)/100,0)+IF(F76="Si",(Listini!$F$171-100)/100,0)+IF(G76="Si",(Listini!$F$172-100)/100,0)),0)</f>
        <v>0</v>
      </c>
      <c r="J76" s="50">
        <f>IF(B76&lt;&gt;0,VLOOKUP(B76,Listini!$A$135:$V$138,7,FALSE)*C76*(1+IF(E76="Si",(Listini!$I$170-100)/100,0)+IF(G76="Si",(Listini!$I$172-100)/100,0)),0)</f>
        <v>0</v>
      </c>
      <c r="K76" s="50">
        <f>IF(B76&lt;&gt;0,(VLOOKUP(B76,Listini!$A$135:$V$138,8,FALSE)*C76+IF(D76&lt;&gt;0,VLOOKUP(CONCATENATE(B76,"-BR"),Listini!$A$164:$V$167,8,FALSE)*D76,0))*(1+IF(E76="Si",(Listini!$J$170-100)/100,0)+IF(F76="Si",(Listini!$J$171-100)/100,0)+IF(G76="Si",(Listini!$J$172-100)/100,0)),0)</f>
        <v>0</v>
      </c>
      <c r="L76" s="50">
        <f>IF(B76&lt;&gt;0,VLOOKUP(B76,Listini!$A$135:$V$138,11,FALSE)*C76*(1+IF(E76="Si",(Listini!$M$170-100)/100,0)+IF(G76="Si",(Listini!$M$172-100)/100,0)),0)</f>
        <v>0</v>
      </c>
      <c r="M76" s="50">
        <f>IF(B76&lt;&gt;0,(VLOOKUP(B76,Listini!$A$135:$V$138,12,FALSE)*C76+IF(D76&lt;&gt;0,VLOOKUP(CONCATENATE(B76,"-BR"),Listini!$A$164:$V$167,12,FALSE)*D76,0))*(1+IF(E76="Si",(Listini!$N$170-100)/100,0)+IF(F76="Si",(Listini!$N$171-100)/100,0)+IF(G76="Si",(Listini!$N$172-100)/100,0)),0)</f>
        <v>0</v>
      </c>
      <c r="N76" s="50">
        <f>IF(B76&lt;&gt;0,VLOOKUP(B76,Listini!$A$135:$V$138,15,FALSE)*C76*(1+IF(E76="Si",(Listini!$Q$170-100)/100,0)+IF(G76="Si",(Listini!$Q$172-100)/100,0)),0)</f>
        <v>0</v>
      </c>
      <c r="O76" s="50">
        <f>IF(B76&lt;&gt;0,(VLOOKUP(B76,Listini!$A$135:$V$138,16,FALSE)*C76+IF(D76&lt;&gt;0,VLOOKUP(CONCATENATE(B76,"-BR"),Listini!$A$164:$V$167,16,FALSE)*D76,0))*(1+IF(E76="Si",(Listini!$R$170-100)/100,0)+IF(F76="Si",(Listini!$R$171-100)/100,0)+IF(G76="Si",(Listini!$R$172-100)/100,0)),0)</f>
        <v>0</v>
      </c>
      <c r="P76" s="50">
        <f>IF(B76&lt;&gt;0,VLOOKUP(B76,Listini!$A$135:$V$138,19,FALSE)*C76*(1+IF(E76="Si",(Listini!$U$170-100)/100,0)+IF(G76="Si",(Listini!$U$172-100)/100,0)),0)</f>
        <v>0</v>
      </c>
      <c r="Q76" s="50">
        <f>IF(B76&lt;&gt;0,(VLOOKUP(B76,Listini!$A$135:$V$138,20,FALSE)*C76+IF(D76&lt;&gt;0,VLOOKUP(CONCATENATE(B76,"-BR"),Listini!$A$164:$V$167,20,FALSE)*D76,0))*(1+IF(E76="Si",(Listini!$V$170-100)/100,0)+IF(F76="Si",(Listini!$V$171-100)/100,0)+IF(G76="Si",(Listini!$V$172-100)/100,0)),0)</f>
        <v>0</v>
      </c>
      <c r="R76" s="50">
        <f>IF(B76&lt;&gt;0,VLOOKUP(B76,'Listino Offerta'!$A$135:$V$138,3,FALSE)*C76*(1+IF(E76="Si",('Listino Offerta'!$E$170-100)/100,0)+IF(G76="Si",('Listino Offerta'!$E$172-100)/100,0)),0)</f>
        <v>0</v>
      </c>
      <c r="S76" s="50">
        <f>IF(B76&lt;&gt;0,(VLOOKUP(B76,'Listino Offerta'!$A$135:$AD$138,4,FALSE)*C76+IF(D76&lt;&gt;0,VLOOKUP(CONCATENATE(B76,"-BR"),'Listino Offerta'!$A$164:$V$167,4,FALSE)*D76,0))*(1+IF(E76="Si",('Listino Offerta'!$F$170-100)/100,0)+IF(F76="Si",('Listino Offerta'!$F$171-100)/100,0)+IF(G76="Si",('Listino Offerta'!$F$172-100)/100,0)),0)</f>
        <v>0</v>
      </c>
    </row>
    <row r="77" spans="1:21" s="244" customFormat="1" ht="12.75" customHeight="1">
      <c r="A77" s="245">
        <v>3</v>
      </c>
      <c r="B77" s="245">
        <f>'Servizi Com. Evoluta - VoIP'!D26</f>
        <v>0</v>
      </c>
      <c r="C77" s="244">
        <f>'Servizi Com. Evoluta - VoIP'!E26</f>
        <v>0</v>
      </c>
      <c r="D77" s="245">
        <f>'Servizi Com. Evoluta - VoIP'!F26</f>
        <v>0</v>
      </c>
      <c r="E77" s="242" t="str">
        <f>IF(AND('Servizi Com. Evoluta - VoIP'!G26="Si",'Servizi Com. Evoluta - VoIP'!H26&lt;&gt;"Si"),"Si","")</f>
        <v/>
      </c>
      <c r="F77" s="242" t="str">
        <f>IF(AND('Servizi Com. Evoluta - VoIP'!G26&lt;&gt;"Si",'Servizi Com. Evoluta - VoIP'!H26="Si"),"Si","")</f>
        <v/>
      </c>
      <c r="G77" s="242" t="str">
        <f>IF(AND('Servizi Com. Evoluta - VoIP'!G26="Si",'Servizi Com. Evoluta - VoIP'!H26="Si"),"Si","")</f>
        <v/>
      </c>
      <c r="H77" s="50">
        <f>IF(B77&lt;&gt;0,VLOOKUP(B77,Listini!$A$135:$V$138,3,FALSE)*C77*(1+IF(E77="Si",(Listini!$E$170-100)/100,0)+IF(G77="Si",(Listini!$E$172-100)/100,0)),0)</f>
        <v>0</v>
      </c>
      <c r="I77" s="50">
        <f>IF(B77&lt;&gt;0,(VLOOKUP(B77,Listini!$A$135:$V$138,4,FALSE)*C77+IF(D77&lt;&gt;0,VLOOKUP(CONCATENATE(B77,"-BR"),Listini!$A$164:$V$167,4,FALSE)*D77,0))*(1+IF(E77="Si",(Listini!$F$170-100)/100,0)+IF(F77="Si",(Listini!$F$171-100)/100,0)+IF(G77="Si",(Listini!$F$172-100)/100,0)),0)</f>
        <v>0</v>
      </c>
      <c r="J77" s="50">
        <f>IF(B77&lt;&gt;0,VLOOKUP(B77,Listini!$A$135:$V$138,7,FALSE)*C77*(1+IF(E77="Si",(Listini!$I$170-100)/100,0)+IF(G77="Si",(Listini!$I$172-100)/100,0)),0)</f>
        <v>0</v>
      </c>
      <c r="K77" s="50">
        <f>IF(B77&lt;&gt;0,(VLOOKUP(B77,Listini!$A$135:$V$138,8,FALSE)*C77+IF(D77&lt;&gt;0,VLOOKUP(CONCATENATE(B77,"-BR"),Listini!$A$164:$V$167,8,FALSE)*D77,0))*(1+IF(E77="Si",(Listini!$J$170-100)/100,0)+IF(F77="Si",(Listini!$J$171-100)/100,0)+IF(G77="Si",(Listini!$J$172-100)/100,0)),0)</f>
        <v>0</v>
      </c>
      <c r="L77" s="50">
        <f>IF(B77&lt;&gt;0,VLOOKUP(B77,Listini!$A$135:$V$138,11,FALSE)*C77*(1+IF(E77="Si",(Listini!$M$170-100)/100,0)+IF(G77="Si",(Listini!$M$172-100)/100,0)),0)</f>
        <v>0</v>
      </c>
      <c r="M77" s="50">
        <f>IF(B77&lt;&gt;0,(VLOOKUP(B77,Listini!$A$135:$V$138,12,FALSE)*C77+IF(D77&lt;&gt;0,VLOOKUP(CONCATENATE(B77,"-BR"),Listini!$A$164:$V$167,12,FALSE)*D77,0))*(1+IF(E77="Si",(Listini!$N$170-100)/100,0)+IF(F77="Si",(Listini!$N$171-100)/100,0)+IF(G77="Si",(Listini!$N$172-100)/100,0)),0)</f>
        <v>0</v>
      </c>
      <c r="N77" s="50">
        <f>IF(B77&lt;&gt;0,VLOOKUP(B77,Listini!$A$135:$V$138,15,FALSE)*C77*(1+IF(E77="Si",(Listini!$Q$170-100)/100,0)+IF(G77="Si",(Listini!$Q$172-100)/100,0)),0)</f>
        <v>0</v>
      </c>
      <c r="O77" s="50">
        <f>IF(B77&lt;&gt;0,(VLOOKUP(B77,Listini!$A$135:$V$138,16,FALSE)*C77+IF(D77&lt;&gt;0,VLOOKUP(CONCATENATE(B77,"-BR"),Listini!$A$164:$V$167,16,FALSE)*D77,0))*(1+IF(E77="Si",(Listini!$R$170-100)/100,0)+IF(F77="Si",(Listini!$R$171-100)/100,0)+IF(G77="Si",(Listini!$R$172-100)/100,0)),0)</f>
        <v>0</v>
      </c>
      <c r="P77" s="50">
        <f>IF(B77&lt;&gt;0,VLOOKUP(B77,Listini!$A$135:$V$138,19,FALSE)*C77*(1+IF(E77="Si",(Listini!$U$170-100)/100,0)+IF(G77="Si",(Listini!$U$172-100)/100,0)),0)</f>
        <v>0</v>
      </c>
      <c r="Q77" s="50">
        <f>IF(B77&lt;&gt;0,(VLOOKUP(B77,Listini!$A$135:$V$138,20,FALSE)*C77+IF(D77&lt;&gt;0,VLOOKUP(CONCATENATE(B77,"-BR"),Listini!$A$164:$V$167,20,FALSE)*D77,0))*(1+IF(E77="Si",(Listini!$V$170-100)/100,0)+IF(F77="Si",(Listini!$V$171-100)/100,0)+IF(G77="Si",(Listini!$V$172-100)/100,0)),0)</f>
        <v>0</v>
      </c>
      <c r="R77" s="50">
        <f>IF(B77&lt;&gt;0,VLOOKUP(B77,'Listino Offerta'!$A$135:$V$138,3,FALSE)*C77*(1+IF(E77="Si",('Listino Offerta'!$E$170-100)/100,0)+IF(G77="Si",('Listino Offerta'!$E$172-100)/100,0)),0)</f>
        <v>0</v>
      </c>
      <c r="S77" s="50">
        <f>IF(B77&lt;&gt;0,(VLOOKUP(B77,'Listino Offerta'!$A$135:$AD$138,4,FALSE)*C77+IF(D77&lt;&gt;0,VLOOKUP(CONCATENATE(B77,"-BR"),'Listino Offerta'!$A$164:$V$167,4,FALSE)*D77,0))*(1+IF(E77="Si",('Listino Offerta'!$F$170-100)/100,0)+IF(F77="Si",('Listino Offerta'!$F$171-100)/100,0)+IF(G77="Si",('Listino Offerta'!$F$172-100)/100,0)),0)</f>
        <v>0</v>
      </c>
    </row>
    <row r="78" spans="1:21" s="244" customFormat="1" ht="12.75" customHeight="1">
      <c r="A78" s="245">
        <v>4</v>
      </c>
      <c r="B78" s="245">
        <f>'Servizi Com. Evoluta - VoIP'!D27</f>
        <v>0</v>
      </c>
      <c r="C78" s="244">
        <f>'Servizi Com. Evoluta - VoIP'!E27</f>
        <v>0</v>
      </c>
      <c r="D78" s="245">
        <f>'Servizi Com. Evoluta - VoIP'!F27</f>
        <v>0</v>
      </c>
      <c r="E78" s="242" t="str">
        <f>IF(AND('Servizi Com. Evoluta - VoIP'!G27="Si",'Servizi Com. Evoluta - VoIP'!H27&lt;&gt;"Si"),"Si","")</f>
        <v/>
      </c>
      <c r="F78" s="242" t="str">
        <f>IF(AND('Servizi Com. Evoluta - VoIP'!G27&lt;&gt;"Si",'Servizi Com. Evoluta - VoIP'!H27="Si"),"Si","")</f>
        <v/>
      </c>
      <c r="G78" s="242" t="str">
        <f>IF(AND('Servizi Com. Evoluta - VoIP'!G27="Si",'Servizi Com. Evoluta - VoIP'!H27="Si"),"Si","")</f>
        <v/>
      </c>
      <c r="H78" s="50">
        <f>IF(B78&lt;&gt;0,VLOOKUP(B78,Listini!$A$135:$V$138,3,FALSE)*C78*(1+IF(E78="Si",(Listini!$E$170-100)/100,0)+IF(G78="Si",(Listini!$E$172-100)/100,0)),0)</f>
        <v>0</v>
      </c>
      <c r="I78" s="50">
        <f>IF(B78&lt;&gt;0,(VLOOKUP(B78,Listini!$A$135:$V$138,4,FALSE)*C78+IF(D78&lt;&gt;0,VLOOKUP(CONCATENATE(B78,"-BR"),Listini!$A$164:$V$167,4,FALSE)*D78,0))*(1+IF(E78="Si",(Listini!$F$170-100)/100,0)+IF(F78="Si",(Listini!$F$171-100)/100,0)+IF(G78="Si",(Listini!$F$172-100)/100,0)),0)</f>
        <v>0</v>
      </c>
      <c r="J78" s="50">
        <f>IF(B78&lt;&gt;0,VLOOKUP(B78,Listini!$A$135:$V$138,7,FALSE)*C78*(1+IF(E78="Si",(Listini!$I$170-100)/100,0)+IF(G78="Si",(Listini!$I$172-100)/100,0)),0)</f>
        <v>0</v>
      </c>
      <c r="K78" s="50">
        <f>IF(B78&lt;&gt;0,(VLOOKUP(B78,Listini!$A$135:$V$138,8,FALSE)*C78+IF(D78&lt;&gt;0,VLOOKUP(CONCATENATE(B78,"-BR"),Listini!$A$164:$V$167,8,FALSE)*D78,0))*(1+IF(E78="Si",(Listini!$J$170-100)/100,0)+IF(F78="Si",(Listini!$J$171-100)/100,0)+IF(G78="Si",(Listini!$J$172-100)/100,0)),0)</f>
        <v>0</v>
      </c>
      <c r="L78" s="50">
        <f>IF(B78&lt;&gt;0,VLOOKUP(B78,Listini!$A$135:$V$138,11,FALSE)*C78*(1+IF(E78="Si",(Listini!$M$170-100)/100,0)+IF(G78="Si",(Listini!$M$172-100)/100,0)),0)</f>
        <v>0</v>
      </c>
      <c r="M78" s="50">
        <f>IF(B78&lt;&gt;0,(VLOOKUP(B78,Listini!$A$135:$V$138,12,FALSE)*C78+IF(D78&lt;&gt;0,VLOOKUP(CONCATENATE(B78,"-BR"),Listini!$A$164:$V$167,12,FALSE)*D78,0))*(1+IF(E78="Si",(Listini!$N$170-100)/100,0)+IF(F78="Si",(Listini!$N$171-100)/100,0)+IF(G78="Si",(Listini!$N$172-100)/100,0)),0)</f>
        <v>0</v>
      </c>
      <c r="N78" s="50">
        <f>IF(B78&lt;&gt;0,VLOOKUP(B78,Listini!$A$135:$V$138,15,FALSE)*C78*(1+IF(E78="Si",(Listini!$Q$170-100)/100,0)+IF(G78="Si",(Listini!$Q$172-100)/100,0)),0)</f>
        <v>0</v>
      </c>
      <c r="O78" s="50">
        <f>IF(B78&lt;&gt;0,(VLOOKUP(B78,Listini!$A$135:$V$138,16,FALSE)*C78+IF(D78&lt;&gt;0,VLOOKUP(CONCATENATE(B78,"-BR"),Listini!$A$164:$V$167,16,FALSE)*D78,0))*(1+IF(E78="Si",(Listini!$R$170-100)/100,0)+IF(F78="Si",(Listini!$R$171-100)/100,0)+IF(G78="Si",(Listini!$R$172-100)/100,0)),0)</f>
        <v>0</v>
      </c>
      <c r="P78" s="50">
        <f>IF(B78&lt;&gt;0,VLOOKUP(B78,Listini!$A$135:$V$138,19,FALSE)*C78*(1+IF(E78="Si",(Listini!$U$170-100)/100,0)+IF(G78="Si",(Listini!$U$172-100)/100,0)),0)</f>
        <v>0</v>
      </c>
      <c r="Q78" s="50">
        <f>IF(B78&lt;&gt;0,(VLOOKUP(B78,Listini!$A$135:$V$138,20,FALSE)*C78+IF(D78&lt;&gt;0,VLOOKUP(CONCATENATE(B78,"-BR"),Listini!$A$164:$V$167,20,FALSE)*D78,0))*(1+IF(E78="Si",(Listini!$V$170-100)/100,0)+IF(F78="Si",(Listini!$V$171-100)/100,0)+IF(G78="Si",(Listini!$V$172-100)/100,0)),0)</f>
        <v>0</v>
      </c>
      <c r="R78" s="50">
        <f>IF(B78&lt;&gt;0,VLOOKUP(B78,'Listino Offerta'!$A$135:$V$138,3,FALSE)*C78*(1+IF(E78="Si",('Listino Offerta'!$E$170-100)/100,0)+IF(G78="Si",('Listino Offerta'!$E$172-100)/100,0)),0)</f>
        <v>0</v>
      </c>
      <c r="S78" s="50">
        <f>IF(B78&lt;&gt;0,(VLOOKUP(B78,'Listino Offerta'!$A$135:$AD$138,4,FALSE)*C78+IF(D78&lt;&gt;0,VLOOKUP(CONCATENATE(B78,"-BR"),'Listino Offerta'!$A$164:$V$167,4,FALSE)*D78,0))*(1+IF(E78="Si",('Listino Offerta'!$F$170-100)/100,0)+IF(F78="Si",('Listino Offerta'!$F$171-100)/100,0)+IF(G78="Si",('Listino Offerta'!$F$172-100)/100,0)),0)</f>
        <v>0</v>
      </c>
    </row>
    <row r="79" spans="1:21" s="244" customFormat="1" ht="12.75" customHeight="1">
      <c r="A79" s="245">
        <v>5</v>
      </c>
      <c r="B79" s="245">
        <f>'Servizi Com. Evoluta - VoIP'!D28</f>
        <v>0</v>
      </c>
      <c r="C79" s="244">
        <f>'Servizi Com. Evoluta - VoIP'!E28</f>
        <v>0</v>
      </c>
      <c r="D79" s="245">
        <f>'Servizi Com. Evoluta - VoIP'!F28</f>
        <v>0</v>
      </c>
      <c r="E79" s="242" t="str">
        <f>IF(AND('Servizi Com. Evoluta - VoIP'!G28="Si",'Servizi Com. Evoluta - VoIP'!H28&lt;&gt;"Si"),"Si","")</f>
        <v/>
      </c>
      <c r="F79" s="242" t="str">
        <f>IF(AND('Servizi Com. Evoluta - VoIP'!G28&lt;&gt;"Si",'Servizi Com. Evoluta - VoIP'!H28="Si"),"Si","")</f>
        <v/>
      </c>
      <c r="G79" s="242" t="str">
        <f>IF(AND('Servizi Com. Evoluta - VoIP'!G28="Si",'Servizi Com. Evoluta - VoIP'!H28="Si"),"Si","")</f>
        <v/>
      </c>
      <c r="H79" s="50">
        <f>IF(B79&lt;&gt;0,VLOOKUP(B79,Listini!$A$135:$V$138,3,FALSE)*C79*(1+IF(E79="Si",(Listini!$E$170-100)/100,0)+IF(G79="Si",(Listini!$E$172-100)/100,0)),0)</f>
        <v>0</v>
      </c>
      <c r="I79" s="50">
        <f>IF(B79&lt;&gt;0,(VLOOKUP(B79,Listini!$A$135:$V$138,4,FALSE)*C79+IF(D79&lt;&gt;0,VLOOKUP(CONCATENATE(B79,"-BR"),Listini!$A$164:$V$167,4,FALSE)*D79,0))*(1+IF(E79="Si",(Listini!$F$170-100)/100,0)+IF(F79="Si",(Listini!$F$171-100)/100,0)+IF(G79="Si",(Listini!$F$172-100)/100,0)),0)</f>
        <v>0</v>
      </c>
      <c r="J79" s="50">
        <f>IF(B79&lt;&gt;0,VLOOKUP(B79,Listini!$A$135:$V$138,7,FALSE)*C79*(1+IF(E79="Si",(Listini!$I$170-100)/100,0)+IF(G79="Si",(Listini!$I$172-100)/100,0)),0)</f>
        <v>0</v>
      </c>
      <c r="K79" s="50">
        <f>IF(B79&lt;&gt;0,(VLOOKUP(B79,Listini!$A$135:$V$138,8,FALSE)*C79+IF(D79&lt;&gt;0,VLOOKUP(CONCATENATE(B79,"-BR"),Listini!$A$164:$V$167,8,FALSE)*D79,0))*(1+IF(E79="Si",(Listini!$J$170-100)/100,0)+IF(F79="Si",(Listini!$J$171-100)/100,0)+IF(G79="Si",(Listini!$J$172-100)/100,0)),0)</f>
        <v>0</v>
      </c>
      <c r="L79" s="50">
        <f>IF(B79&lt;&gt;0,VLOOKUP(B79,Listini!$A$135:$V$138,11,FALSE)*C79*(1+IF(E79="Si",(Listini!$M$170-100)/100,0)+IF(G79="Si",(Listini!$M$172-100)/100,0)),0)</f>
        <v>0</v>
      </c>
      <c r="M79" s="50">
        <f>IF(B79&lt;&gt;0,(VLOOKUP(B79,Listini!$A$135:$V$138,12,FALSE)*C79+IF(D79&lt;&gt;0,VLOOKUP(CONCATENATE(B79,"-BR"),Listini!$A$164:$V$167,12,FALSE)*D79,0))*(1+IF(E79="Si",(Listini!$N$170-100)/100,0)+IF(F79="Si",(Listini!$N$171-100)/100,0)+IF(G79="Si",(Listini!$N$172-100)/100,0)),0)</f>
        <v>0</v>
      </c>
      <c r="N79" s="50">
        <f>IF(B79&lt;&gt;0,VLOOKUP(B79,Listini!$A$135:$V$138,15,FALSE)*C79*(1+IF(E79="Si",(Listini!$Q$170-100)/100,0)+IF(G79="Si",(Listini!$Q$172-100)/100,0)),0)</f>
        <v>0</v>
      </c>
      <c r="O79" s="50">
        <f>IF(B79&lt;&gt;0,(VLOOKUP(B79,Listini!$A$135:$V$138,16,FALSE)*C79+IF(D79&lt;&gt;0,VLOOKUP(CONCATENATE(B79,"-BR"),Listini!$A$164:$V$167,16,FALSE)*D79,0))*(1+IF(E79="Si",(Listini!$R$170-100)/100,0)+IF(F79="Si",(Listini!$R$171-100)/100,0)+IF(G79="Si",(Listini!$R$172-100)/100,0)),0)</f>
        <v>0</v>
      </c>
      <c r="P79" s="50">
        <f>IF(B79&lt;&gt;0,VLOOKUP(B79,Listini!$A$135:$V$138,19,FALSE)*C79*(1+IF(E79="Si",(Listini!$U$170-100)/100,0)+IF(G79="Si",(Listini!$U$172-100)/100,0)),0)</f>
        <v>0</v>
      </c>
      <c r="Q79" s="50">
        <f>IF(B79&lt;&gt;0,(VLOOKUP(B79,Listini!$A$135:$V$138,20,FALSE)*C79+IF(D79&lt;&gt;0,VLOOKUP(CONCATENATE(B79,"-BR"),Listini!$A$164:$V$167,20,FALSE)*D79,0))*(1+IF(E79="Si",(Listini!$V$170-100)/100,0)+IF(F79="Si",(Listini!$V$171-100)/100,0)+IF(G79="Si",(Listini!$V$172-100)/100,0)),0)</f>
        <v>0</v>
      </c>
      <c r="R79" s="50">
        <f>IF(B79&lt;&gt;0,VLOOKUP(B79,'Listino Offerta'!$A$135:$V$138,3,FALSE)*C79*(1+IF(E79="Si",('Listino Offerta'!$E$170-100)/100,0)+IF(G79="Si",('Listino Offerta'!$E$172-100)/100,0)),0)</f>
        <v>0</v>
      </c>
      <c r="S79" s="50">
        <f>IF(B79&lt;&gt;0,(VLOOKUP(B79,'Listino Offerta'!$A$135:$AD$138,4,FALSE)*C79+IF(D79&lt;&gt;0,VLOOKUP(CONCATENATE(B79,"-BR"),'Listino Offerta'!$A$164:$V$167,4,FALSE)*D79,0))*(1+IF(E79="Si",('Listino Offerta'!$F$170-100)/100,0)+IF(F79="Si",('Listino Offerta'!$F$171-100)/100,0)+IF(G79="Si",('Listino Offerta'!$F$172-100)/100,0)),0)</f>
        <v>0</v>
      </c>
    </row>
    <row r="80" spans="1:21" s="244" customFormat="1" ht="12.75" customHeight="1">
      <c r="A80" s="245">
        <v>6</v>
      </c>
      <c r="B80" s="245">
        <f>'Servizi Com. Evoluta - VoIP'!D29</f>
        <v>0</v>
      </c>
      <c r="C80" s="244">
        <f>'Servizi Com. Evoluta - VoIP'!E29</f>
        <v>0</v>
      </c>
      <c r="D80" s="245">
        <f>'Servizi Com. Evoluta - VoIP'!F29</f>
        <v>0</v>
      </c>
      <c r="E80" s="242" t="str">
        <f>IF(AND('Servizi Com. Evoluta - VoIP'!G29="Si",'Servizi Com. Evoluta - VoIP'!H29&lt;&gt;"Si"),"Si","")</f>
        <v/>
      </c>
      <c r="F80" s="242" t="str">
        <f>IF(AND('Servizi Com. Evoluta - VoIP'!G29&lt;&gt;"Si",'Servizi Com. Evoluta - VoIP'!H29="Si"),"Si","")</f>
        <v/>
      </c>
      <c r="G80" s="242" t="str">
        <f>IF(AND('Servizi Com. Evoluta - VoIP'!G29="Si",'Servizi Com. Evoluta - VoIP'!H29="Si"),"Si","")</f>
        <v/>
      </c>
      <c r="H80" s="50">
        <f>IF(B80&lt;&gt;0,VLOOKUP(B80,Listini!$A$135:$V$138,3,FALSE)*C80*(1+IF(E80="Si",(Listini!$E$170-100)/100,0)+IF(G80="Si",(Listini!$E$172-100)/100,0)),0)</f>
        <v>0</v>
      </c>
      <c r="I80" s="50">
        <f>IF(B80&lt;&gt;0,(VLOOKUP(B80,Listini!$A$135:$V$138,4,FALSE)*C80+IF(D80&lt;&gt;0,VLOOKUP(CONCATENATE(B80,"-BR"),Listini!$A$164:$V$167,4,FALSE)*D80,0))*(1+IF(E80="Si",(Listini!$F$170-100)/100,0)+IF(F80="Si",(Listini!$F$171-100)/100,0)+IF(G80="Si",(Listini!$F$172-100)/100,0)),0)</f>
        <v>0</v>
      </c>
      <c r="J80" s="50">
        <f>IF(B80&lt;&gt;0,VLOOKUP(B80,Listini!$A$135:$V$138,7,FALSE)*C80*(1+IF(E80="Si",(Listini!$I$170-100)/100,0)+IF(G80="Si",(Listini!$I$172-100)/100,0)),0)</f>
        <v>0</v>
      </c>
      <c r="K80" s="50">
        <f>IF(B80&lt;&gt;0,(VLOOKUP(B80,Listini!$A$135:$V$138,8,FALSE)*C80+IF(D80&lt;&gt;0,VLOOKUP(CONCATENATE(B80,"-BR"),Listini!$A$164:$V$167,8,FALSE)*D80,0))*(1+IF(E80="Si",(Listini!$J$170-100)/100,0)+IF(F80="Si",(Listini!$J$171-100)/100,0)+IF(G80="Si",(Listini!$J$172-100)/100,0)),0)</f>
        <v>0</v>
      </c>
      <c r="L80" s="50">
        <f>IF(B80&lt;&gt;0,VLOOKUP(B80,Listini!$A$135:$V$138,11,FALSE)*C80*(1+IF(E80="Si",(Listini!$M$170-100)/100,0)+IF(G80="Si",(Listini!$M$172-100)/100,0)),0)</f>
        <v>0</v>
      </c>
      <c r="M80" s="50">
        <f>IF(B80&lt;&gt;0,(VLOOKUP(B80,Listini!$A$135:$V$138,12,FALSE)*C80+IF(D80&lt;&gt;0,VLOOKUP(CONCATENATE(B80,"-BR"),Listini!$A$164:$V$167,12,FALSE)*D80,0))*(1+IF(E80="Si",(Listini!$N$170-100)/100,0)+IF(F80="Si",(Listini!$N$171-100)/100,0)+IF(G80="Si",(Listini!$N$172-100)/100,0)),0)</f>
        <v>0</v>
      </c>
      <c r="N80" s="50">
        <f>IF(B80&lt;&gt;0,VLOOKUP(B80,Listini!$A$135:$V$138,15,FALSE)*C80*(1+IF(E80="Si",(Listini!$Q$170-100)/100,0)+IF(G80="Si",(Listini!$Q$172-100)/100,0)),0)</f>
        <v>0</v>
      </c>
      <c r="O80" s="50">
        <f>IF(B80&lt;&gt;0,(VLOOKUP(B80,Listini!$A$135:$V$138,16,FALSE)*C80+IF(D80&lt;&gt;0,VLOOKUP(CONCATENATE(B80,"-BR"),Listini!$A$164:$V$167,16,FALSE)*D80,0))*(1+IF(E80="Si",(Listini!$R$170-100)/100,0)+IF(F80="Si",(Listini!$R$171-100)/100,0)+IF(G80="Si",(Listini!$R$172-100)/100,0)),0)</f>
        <v>0</v>
      </c>
      <c r="P80" s="50">
        <f>IF(B80&lt;&gt;0,VLOOKUP(B80,Listini!$A$135:$V$138,19,FALSE)*C80*(1+IF(E80="Si",(Listini!$U$170-100)/100,0)+IF(G80="Si",(Listini!$U$172-100)/100,0)),0)</f>
        <v>0</v>
      </c>
      <c r="Q80" s="50">
        <f>IF(B80&lt;&gt;0,(VLOOKUP(B80,Listini!$A$135:$V$138,20,FALSE)*C80+IF(D80&lt;&gt;0,VLOOKUP(CONCATENATE(B80,"-BR"),Listini!$A$164:$V$167,20,FALSE)*D80,0))*(1+IF(E80="Si",(Listini!$V$170-100)/100,0)+IF(F80="Si",(Listini!$V$171-100)/100,0)+IF(G80="Si",(Listini!$V$172-100)/100,0)),0)</f>
        <v>0</v>
      </c>
      <c r="R80" s="50">
        <f>IF(B80&lt;&gt;0,VLOOKUP(B80,'Listino Offerta'!$A$135:$V$138,3,FALSE)*C80*(1+IF(E80="Si",('Listino Offerta'!$E$170-100)/100,0)+IF(G80="Si",('Listino Offerta'!$E$172-100)/100,0)),0)</f>
        <v>0</v>
      </c>
      <c r="S80" s="50">
        <f>IF(B80&lt;&gt;0,(VLOOKUP(B80,'Listino Offerta'!$A$135:$AD$138,4,FALSE)*C80+IF(D80&lt;&gt;0,VLOOKUP(CONCATENATE(B80,"-BR"),'Listino Offerta'!$A$164:$V$167,4,FALSE)*D80,0))*(1+IF(E80="Si",('Listino Offerta'!$F$170-100)/100,0)+IF(F80="Si",('Listino Offerta'!$F$171-100)/100,0)+IF(G80="Si",('Listino Offerta'!$F$172-100)/100,0)),0)</f>
        <v>0</v>
      </c>
    </row>
    <row r="81" spans="1:19" s="244" customFormat="1" ht="12.75" customHeight="1">
      <c r="A81" s="245">
        <v>7</v>
      </c>
      <c r="B81" s="245">
        <f>'Servizi Com. Evoluta - VoIP'!D30</f>
        <v>0</v>
      </c>
      <c r="C81" s="244">
        <f>'Servizi Com. Evoluta - VoIP'!E30</f>
        <v>0</v>
      </c>
      <c r="D81" s="245">
        <f>'Servizi Com. Evoluta - VoIP'!F30</f>
        <v>0</v>
      </c>
      <c r="E81" s="242" t="str">
        <f>IF(AND('Servizi Com. Evoluta - VoIP'!G30="Si",'Servizi Com. Evoluta - VoIP'!H30&lt;&gt;"Si"),"Si","")</f>
        <v/>
      </c>
      <c r="F81" s="242" t="str">
        <f>IF(AND('Servizi Com. Evoluta - VoIP'!G30&lt;&gt;"Si",'Servizi Com. Evoluta - VoIP'!H30="Si"),"Si","")</f>
        <v/>
      </c>
      <c r="G81" s="242" t="str">
        <f>IF(AND('Servizi Com. Evoluta - VoIP'!G30="Si",'Servizi Com. Evoluta - VoIP'!H30="Si"),"Si","")</f>
        <v/>
      </c>
      <c r="H81" s="50">
        <f>IF(B81&lt;&gt;0,VLOOKUP(B81,Listini!$A$135:$V$138,3,FALSE)*C81*(1+IF(E81="Si",(Listini!$E$170-100)/100,0)+IF(G81="Si",(Listini!$E$172-100)/100,0)),0)</f>
        <v>0</v>
      </c>
      <c r="I81" s="50">
        <f>IF(B81&lt;&gt;0,(VLOOKUP(B81,Listini!$A$135:$V$138,4,FALSE)*C81+IF(D81&lt;&gt;0,VLOOKUP(CONCATENATE(B81,"-BR"),Listini!$A$164:$V$167,4,FALSE)*D81,0))*(1+IF(E81="Si",(Listini!$F$170-100)/100,0)+IF(F81="Si",(Listini!$F$171-100)/100,0)+IF(G81="Si",(Listini!$F$172-100)/100,0)),0)</f>
        <v>0</v>
      </c>
      <c r="J81" s="50">
        <f>IF(B81&lt;&gt;0,VLOOKUP(B81,Listini!$A$135:$V$138,7,FALSE)*C81*(1+IF(E81="Si",(Listini!$I$170-100)/100,0)+IF(G81="Si",(Listini!$I$172-100)/100,0)),0)</f>
        <v>0</v>
      </c>
      <c r="K81" s="50">
        <f>IF(B81&lt;&gt;0,(VLOOKUP(B81,Listini!$A$135:$V$138,8,FALSE)*C81+IF(D81&lt;&gt;0,VLOOKUP(CONCATENATE(B81,"-BR"),Listini!$A$164:$V$167,8,FALSE)*D81,0))*(1+IF(E81="Si",(Listini!$J$170-100)/100,0)+IF(F81="Si",(Listini!$J$171-100)/100,0)+IF(G81="Si",(Listini!$J$172-100)/100,0)),0)</f>
        <v>0</v>
      </c>
      <c r="L81" s="50">
        <f>IF(B81&lt;&gt;0,VLOOKUP(B81,Listini!$A$135:$V$138,11,FALSE)*C81*(1+IF(E81="Si",(Listini!$M$170-100)/100,0)+IF(G81="Si",(Listini!$M$172-100)/100,0)),0)</f>
        <v>0</v>
      </c>
      <c r="M81" s="50">
        <f>IF(B81&lt;&gt;0,(VLOOKUP(B81,Listini!$A$135:$V$138,12,FALSE)*C81+IF(D81&lt;&gt;0,VLOOKUP(CONCATENATE(B81,"-BR"),Listini!$A$164:$V$167,12,FALSE)*D81,0))*(1+IF(E81="Si",(Listini!$N$170-100)/100,0)+IF(F81="Si",(Listini!$N$171-100)/100,0)+IF(G81="Si",(Listini!$N$172-100)/100,0)),0)</f>
        <v>0</v>
      </c>
      <c r="N81" s="50">
        <f>IF(B81&lt;&gt;0,VLOOKUP(B81,Listini!$A$135:$V$138,15,FALSE)*C81*(1+IF(E81="Si",(Listini!$Q$170-100)/100,0)+IF(G81="Si",(Listini!$Q$172-100)/100,0)),0)</f>
        <v>0</v>
      </c>
      <c r="O81" s="50">
        <f>IF(B81&lt;&gt;0,(VLOOKUP(B81,Listini!$A$135:$V$138,16,FALSE)*C81+IF(D81&lt;&gt;0,VLOOKUP(CONCATENATE(B81,"-BR"),Listini!$A$164:$V$167,16,FALSE)*D81,0))*(1+IF(E81="Si",(Listini!$R$170-100)/100,0)+IF(F81="Si",(Listini!$R$171-100)/100,0)+IF(G81="Si",(Listini!$R$172-100)/100,0)),0)</f>
        <v>0</v>
      </c>
      <c r="P81" s="50">
        <f>IF(B81&lt;&gt;0,VLOOKUP(B81,Listini!$A$135:$V$138,19,FALSE)*C81*(1+IF(E81="Si",(Listini!$U$170-100)/100,0)+IF(G81="Si",(Listini!$U$172-100)/100,0)),0)</f>
        <v>0</v>
      </c>
      <c r="Q81" s="50">
        <f>IF(B81&lt;&gt;0,(VLOOKUP(B81,Listini!$A$135:$V$138,20,FALSE)*C81+IF(D81&lt;&gt;0,VLOOKUP(CONCATENATE(B81,"-BR"),Listini!$A$164:$V$167,20,FALSE)*D81,0))*(1+IF(E81="Si",(Listini!$V$170-100)/100,0)+IF(F81="Si",(Listini!$V$171-100)/100,0)+IF(G81="Si",(Listini!$V$172-100)/100,0)),0)</f>
        <v>0</v>
      </c>
      <c r="R81" s="50">
        <f>IF(B81&lt;&gt;0,VLOOKUP(B81,'Listino Offerta'!$A$135:$V$138,3,FALSE)*C81*(1+IF(E81="Si",('Listino Offerta'!$E$170-100)/100,0)+IF(G81="Si",('Listino Offerta'!$E$172-100)/100,0)),0)</f>
        <v>0</v>
      </c>
      <c r="S81" s="50">
        <f>IF(B81&lt;&gt;0,(VLOOKUP(B81,'Listino Offerta'!$A$135:$AD$138,4,FALSE)*C81+IF(D81&lt;&gt;0,VLOOKUP(CONCATENATE(B81,"-BR"),'Listino Offerta'!$A$164:$V$167,4,FALSE)*D81,0))*(1+IF(E81="Si",('Listino Offerta'!$F$170-100)/100,0)+IF(F81="Si",('Listino Offerta'!$F$171-100)/100,0)+IF(G81="Si",('Listino Offerta'!$F$172-100)/100,0)),0)</f>
        <v>0</v>
      </c>
    </row>
    <row r="82" spans="1:19" s="244" customFormat="1" ht="12.75" customHeight="1">
      <c r="A82" s="245">
        <v>8</v>
      </c>
      <c r="B82" s="245">
        <f>'Servizi Com. Evoluta - VoIP'!D31</f>
        <v>0</v>
      </c>
      <c r="C82" s="244">
        <f>'Servizi Com. Evoluta - VoIP'!E31</f>
        <v>0</v>
      </c>
      <c r="D82" s="245">
        <f>'Servizi Com. Evoluta - VoIP'!F31</f>
        <v>0</v>
      </c>
      <c r="E82" s="242" t="str">
        <f>IF(AND('Servizi Com. Evoluta - VoIP'!G31="Si",'Servizi Com. Evoluta - VoIP'!H31&lt;&gt;"Si"),"Si","")</f>
        <v/>
      </c>
      <c r="F82" s="242" t="str">
        <f>IF(AND('Servizi Com. Evoluta - VoIP'!G31&lt;&gt;"Si",'Servizi Com. Evoluta - VoIP'!H31="Si"),"Si","")</f>
        <v/>
      </c>
      <c r="G82" s="242" t="str">
        <f>IF(AND('Servizi Com. Evoluta - VoIP'!G31="Si",'Servizi Com. Evoluta - VoIP'!H31="Si"),"Si","")</f>
        <v/>
      </c>
      <c r="H82" s="50">
        <f>IF(B82&lt;&gt;0,VLOOKUP(B82,Listini!$A$135:$V$138,3,FALSE)*C82*(1+IF(E82="Si",(Listini!$E$170-100)/100,0)+IF(G82="Si",(Listini!$E$172-100)/100,0)),0)</f>
        <v>0</v>
      </c>
      <c r="I82" s="50">
        <f>IF(B82&lt;&gt;0,(VLOOKUP(B82,Listini!$A$135:$V$138,4,FALSE)*C82+IF(D82&lt;&gt;0,VLOOKUP(CONCATENATE(B82,"-BR"),Listini!$A$164:$V$167,4,FALSE)*D82,0))*(1+IF(E82="Si",(Listini!$F$170-100)/100,0)+IF(F82="Si",(Listini!$F$171-100)/100,0)+IF(G82="Si",(Listini!$F$172-100)/100,0)),0)</f>
        <v>0</v>
      </c>
      <c r="J82" s="50">
        <f>IF(B82&lt;&gt;0,VLOOKUP(B82,Listini!$A$135:$V$138,7,FALSE)*C82*(1+IF(E82="Si",(Listini!$I$170-100)/100,0)+IF(G82="Si",(Listini!$I$172-100)/100,0)),0)</f>
        <v>0</v>
      </c>
      <c r="K82" s="50">
        <f>IF(B82&lt;&gt;0,(VLOOKUP(B82,Listini!$A$135:$V$138,8,FALSE)*C82+IF(D82&lt;&gt;0,VLOOKUP(CONCATENATE(B82,"-BR"),Listini!$A$164:$V$167,8,FALSE)*D82,0))*(1+IF(E82="Si",(Listini!$J$170-100)/100,0)+IF(F82="Si",(Listini!$J$171-100)/100,0)+IF(G82="Si",(Listini!$J$172-100)/100,0)),0)</f>
        <v>0</v>
      </c>
      <c r="L82" s="50">
        <f>IF(B82&lt;&gt;0,VLOOKUP(B82,Listini!$A$135:$V$138,11,FALSE)*C82*(1+IF(E82="Si",(Listini!$M$170-100)/100,0)+IF(G82="Si",(Listini!$M$172-100)/100,0)),0)</f>
        <v>0</v>
      </c>
      <c r="M82" s="50">
        <f>IF(B82&lt;&gt;0,(VLOOKUP(B82,Listini!$A$135:$V$138,12,FALSE)*C82+IF(D82&lt;&gt;0,VLOOKUP(CONCATENATE(B82,"-BR"),Listini!$A$164:$V$167,12,FALSE)*D82,0))*(1+IF(E82="Si",(Listini!$N$170-100)/100,0)+IF(F82="Si",(Listini!$N$171-100)/100,0)+IF(G82="Si",(Listini!$N$172-100)/100,0)),0)</f>
        <v>0</v>
      </c>
      <c r="N82" s="50">
        <f>IF(B82&lt;&gt;0,VLOOKUP(B82,Listini!$A$135:$V$138,15,FALSE)*C82*(1+IF(E82="Si",(Listini!$Q$170-100)/100,0)+IF(G82="Si",(Listini!$Q$172-100)/100,0)),0)</f>
        <v>0</v>
      </c>
      <c r="O82" s="50">
        <f>IF(B82&lt;&gt;0,(VLOOKUP(B82,Listini!$A$135:$V$138,16,FALSE)*C82+IF(D82&lt;&gt;0,VLOOKUP(CONCATENATE(B82,"-BR"),Listini!$A$164:$V$167,16,FALSE)*D82,0))*(1+IF(E82="Si",(Listini!$R$170-100)/100,0)+IF(F82="Si",(Listini!$R$171-100)/100,0)+IF(G82="Si",(Listini!$R$172-100)/100,0)),0)</f>
        <v>0</v>
      </c>
      <c r="P82" s="50">
        <f>IF(B82&lt;&gt;0,VLOOKUP(B82,Listini!$A$135:$V$138,19,FALSE)*C82*(1+IF(E82="Si",(Listini!$U$170-100)/100,0)+IF(G82="Si",(Listini!$U$172-100)/100,0)),0)</f>
        <v>0</v>
      </c>
      <c r="Q82" s="50">
        <f>IF(B82&lt;&gt;0,(VLOOKUP(B82,Listini!$A$135:$V$138,20,FALSE)*C82+IF(D82&lt;&gt;0,VLOOKUP(CONCATENATE(B82,"-BR"),Listini!$A$164:$V$167,20,FALSE)*D82,0))*(1+IF(E82="Si",(Listini!$V$170-100)/100,0)+IF(F82="Si",(Listini!$V$171-100)/100,0)+IF(G82="Si",(Listini!$V$172-100)/100,0)),0)</f>
        <v>0</v>
      </c>
      <c r="R82" s="50">
        <f>IF(B82&lt;&gt;0,VLOOKUP(B82,'Listino Offerta'!$A$135:$V$138,3,FALSE)*C82*(1+IF(E82="Si",('Listino Offerta'!$E$170-100)/100,0)+IF(G82="Si",('Listino Offerta'!$E$172-100)/100,0)),0)</f>
        <v>0</v>
      </c>
      <c r="S82" s="50">
        <f>IF(B82&lt;&gt;0,(VLOOKUP(B82,'Listino Offerta'!$A$135:$AD$138,4,FALSE)*C82+IF(D82&lt;&gt;0,VLOOKUP(CONCATENATE(B82,"-BR"),'Listino Offerta'!$A$164:$V$167,4,FALSE)*D82,0))*(1+IF(E82="Si",('Listino Offerta'!$F$170-100)/100,0)+IF(F82="Si",('Listino Offerta'!$F$171-100)/100,0)+IF(G82="Si",('Listino Offerta'!$F$172-100)/100,0)),0)</f>
        <v>0</v>
      </c>
    </row>
    <row r="83" spans="1:19" s="244" customFormat="1" ht="12.75" customHeight="1">
      <c r="A83" s="245">
        <v>9</v>
      </c>
      <c r="B83" s="245">
        <f>'Servizi Com. Evoluta - VoIP'!D32</f>
        <v>0</v>
      </c>
      <c r="C83" s="244">
        <f>'Servizi Com. Evoluta - VoIP'!E32</f>
        <v>0</v>
      </c>
      <c r="D83" s="245">
        <f>'Servizi Com. Evoluta - VoIP'!F32</f>
        <v>0</v>
      </c>
      <c r="E83" s="242" t="str">
        <f>IF(AND('Servizi Com. Evoluta - VoIP'!G32="Si",'Servizi Com. Evoluta - VoIP'!H32&lt;&gt;"Si"),"Si","")</f>
        <v/>
      </c>
      <c r="F83" s="242" t="str">
        <f>IF(AND('Servizi Com. Evoluta - VoIP'!G32&lt;&gt;"Si",'Servizi Com. Evoluta - VoIP'!H32="Si"),"Si","")</f>
        <v/>
      </c>
      <c r="G83" s="242" t="str">
        <f>IF(AND('Servizi Com. Evoluta - VoIP'!G32="Si",'Servizi Com. Evoluta - VoIP'!H32="Si"),"Si","")</f>
        <v/>
      </c>
      <c r="H83" s="50">
        <f>IF(B83&lt;&gt;0,VLOOKUP(B83,Listini!$A$135:$V$138,3,FALSE)*C83*(1+IF(E83="Si",(Listini!$E$170-100)/100,0)+IF(G83="Si",(Listini!$E$172-100)/100,0)),0)</f>
        <v>0</v>
      </c>
      <c r="I83" s="50">
        <f>IF(B83&lt;&gt;0,(VLOOKUP(B83,Listini!$A$135:$V$138,4,FALSE)*C83+IF(D83&lt;&gt;0,VLOOKUP(CONCATENATE(B83,"-BR"),Listini!$A$164:$V$167,4,FALSE)*D83,0))*(1+IF(E83="Si",(Listini!$F$170-100)/100,0)+IF(F83="Si",(Listini!$F$171-100)/100,0)+IF(G83="Si",(Listini!$F$172-100)/100,0)),0)</f>
        <v>0</v>
      </c>
      <c r="J83" s="50">
        <f>IF(B83&lt;&gt;0,VLOOKUP(B83,Listini!$A$135:$V$138,7,FALSE)*C83*(1+IF(E83="Si",(Listini!$I$170-100)/100,0)+IF(G83="Si",(Listini!$I$172-100)/100,0)),0)</f>
        <v>0</v>
      </c>
      <c r="K83" s="50">
        <f>IF(B83&lt;&gt;0,(VLOOKUP(B83,Listini!$A$135:$V$138,8,FALSE)*C83+IF(D83&lt;&gt;0,VLOOKUP(CONCATENATE(B83,"-BR"),Listini!$A$164:$V$167,8,FALSE)*D83,0))*(1+IF(E83="Si",(Listini!$J$170-100)/100,0)+IF(F83="Si",(Listini!$J$171-100)/100,0)+IF(G83="Si",(Listini!$J$172-100)/100,0)),0)</f>
        <v>0</v>
      </c>
      <c r="L83" s="50">
        <f>IF(B83&lt;&gt;0,VLOOKUP(B83,Listini!$A$135:$V$138,11,FALSE)*C83*(1+IF(E83="Si",(Listini!$M$170-100)/100,0)+IF(G83="Si",(Listini!$M$172-100)/100,0)),0)</f>
        <v>0</v>
      </c>
      <c r="M83" s="50">
        <f>IF(B83&lt;&gt;0,(VLOOKUP(B83,Listini!$A$135:$V$138,12,FALSE)*C83+IF(D83&lt;&gt;0,VLOOKUP(CONCATENATE(B83,"-BR"),Listini!$A$164:$V$167,12,FALSE)*D83,0))*(1+IF(E83="Si",(Listini!$N$170-100)/100,0)+IF(F83="Si",(Listini!$N$171-100)/100,0)+IF(G83="Si",(Listini!$N$172-100)/100,0)),0)</f>
        <v>0</v>
      </c>
      <c r="N83" s="50">
        <f>IF(B83&lt;&gt;0,VLOOKUP(B83,Listini!$A$135:$V$138,15,FALSE)*C83*(1+IF(E83="Si",(Listini!$Q$170-100)/100,0)+IF(G83="Si",(Listini!$Q$172-100)/100,0)),0)</f>
        <v>0</v>
      </c>
      <c r="O83" s="50">
        <f>IF(B83&lt;&gt;0,(VLOOKUP(B83,Listini!$A$135:$V$138,16,FALSE)*C83+IF(D83&lt;&gt;0,VLOOKUP(CONCATENATE(B83,"-BR"),Listini!$A$164:$V$167,16,FALSE)*D83,0))*(1+IF(E83="Si",(Listini!$R$170-100)/100,0)+IF(F83="Si",(Listini!$R$171-100)/100,0)+IF(G83="Si",(Listini!$R$172-100)/100,0)),0)</f>
        <v>0</v>
      </c>
      <c r="P83" s="50">
        <f>IF(B83&lt;&gt;0,VLOOKUP(B83,Listini!$A$135:$V$138,19,FALSE)*C83*(1+IF(E83="Si",(Listini!$U$170-100)/100,0)+IF(G83="Si",(Listini!$U$172-100)/100,0)),0)</f>
        <v>0</v>
      </c>
      <c r="Q83" s="50">
        <f>IF(B83&lt;&gt;0,(VLOOKUP(B83,Listini!$A$135:$V$138,20,FALSE)*C83+IF(D83&lt;&gt;0,VLOOKUP(CONCATENATE(B83,"-BR"),Listini!$A$164:$V$167,20,FALSE)*D83,0))*(1+IF(E83="Si",(Listini!$V$170-100)/100,0)+IF(F83="Si",(Listini!$V$171-100)/100,0)+IF(G83="Si",(Listini!$V$172-100)/100,0)),0)</f>
        <v>0</v>
      </c>
      <c r="R83" s="50">
        <f>IF(B83&lt;&gt;0,VLOOKUP(B83,'Listino Offerta'!$A$135:$V$138,3,FALSE)*C83*(1+IF(E83="Si",('Listino Offerta'!$E$170-100)/100,0)+IF(G83="Si",('Listino Offerta'!$E$172-100)/100,0)),0)</f>
        <v>0</v>
      </c>
      <c r="S83" s="50">
        <f>IF(B83&lt;&gt;0,(VLOOKUP(B83,'Listino Offerta'!$A$135:$AD$138,4,FALSE)*C83+IF(D83&lt;&gt;0,VLOOKUP(CONCATENATE(B83,"-BR"),'Listino Offerta'!$A$164:$V$167,4,FALSE)*D83,0))*(1+IF(E83="Si",('Listino Offerta'!$F$170-100)/100,0)+IF(F83="Si",('Listino Offerta'!$F$171-100)/100,0)+IF(G83="Si",('Listino Offerta'!$F$172-100)/100,0)),0)</f>
        <v>0</v>
      </c>
    </row>
    <row r="84" spans="1:19" s="244" customFormat="1" ht="12.75" customHeight="1">
      <c r="A84" s="245">
        <v>10</v>
      </c>
      <c r="B84" s="245">
        <f>'Servizi Com. Evoluta - VoIP'!D33</f>
        <v>0</v>
      </c>
      <c r="C84" s="244">
        <f>'Servizi Com. Evoluta - VoIP'!E33</f>
        <v>0</v>
      </c>
      <c r="D84" s="245">
        <f>'Servizi Com. Evoluta - VoIP'!F33</f>
        <v>0</v>
      </c>
      <c r="E84" s="242" t="str">
        <f>IF(AND('Servizi Com. Evoluta - VoIP'!G33="Si",'Servizi Com. Evoluta - VoIP'!H33&lt;&gt;"Si"),"Si","")</f>
        <v/>
      </c>
      <c r="F84" s="242" t="str">
        <f>IF(AND('Servizi Com. Evoluta - VoIP'!G33&lt;&gt;"Si",'Servizi Com. Evoluta - VoIP'!H33="Si"),"Si","")</f>
        <v/>
      </c>
      <c r="G84" s="242" t="str">
        <f>IF(AND('Servizi Com. Evoluta - VoIP'!G33="Si",'Servizi Com. Evoluta - VoIP'!H33="Si"),"Si","")</f>
        <v/>
      </c>
      <c r="H84" s="50">
        <f>IF(B84&lt;&gt;0,VLOOKUP(B84,Listini!$A$135:$V$138,3,FALSE)*C84*(1+IF(E84="Si",(Listini!$E$170-100)/100,0)+IF(G84="Si",(Listini!$E$172-100)/100,0)),0)</f>
        <v>0</v>
      </c>
      <c r="I84" s="50">
        <f>IF(B84&lt;&gt;0,(VLOOKUP(B84,Listini!$A$135:$V$138,4,FALSE)*C84+IF(D84&lt;&gt;0,VLOOKUP(CONCATENATE(B84,"-BR"),Listini!$A$164:$V$167,4,FALSE)*D84,0))*(1+IF(E84="Si",(Listini!$F$170-100)/100,0)+IF(F84="Si",(Listini!$F$171-100)/100,0)+IF(G84="Si",(Listini!$F$172-100)/100,0)),0)</f>
        <v>0</v>
      </c>
      <c r="J84" s="50">
        <f>IF(B84&lt;&gt;0,VLOOKUP(B84,Listini!$A$135:$V$138,7,FALSE)*C84*(1+IF(E84="Si",(Listini!$I$170-100)/100,0)+IF(G84="Si",(Listini!$I$172-100)/100,0)),0)</f>
        <v>0</v>
      </c>
      <c r="K84" s="50">
        <f>IF(B84&lt;&gt;0,(VLOOKUP(B84,Listini!$A$135:$V$138,8,FALSE)*C84+IF(D84&lt;&gt;0,VLOOKUP(CONCATENATE(B84,"-BR"),Listini!$A$164:$V$167,8,FALSE)*D84,0))*(1+IF(E84="Si",(Listini!$J$170-100)/100,0)+IF(F84="Si",(Listini!$J$171-100)/100,0)+IF(G84="Si",(Listini!$J$172-100)/100,0)),0)</f>
        <v>0</v>
      </c>
      <c r="L84" s="50">
        <f>IF(B84&lt;&gt;0,VLOOKUP(B84,Listini!$A$135:$V$138,11,FALSE)*C84*(1+IF(E84="Si",(Listini!$M$170-100)/100,0)+IF(G84="Si",(Listini!$M$172-100)/100,0)),0)</f>
        <v>0</v>
      </c>
      <c r="M84" s="50">
        <f>IF(B84&lt;&gt;0,(VLOOKUP(B84,Listini!$A$135:$V$138,12,FALSE)*C84+IF(D84&lt;&gt;0,VLOOKUP(CONCATENATE(B84,"-BR"),Listini!$A$164:$V$167,12,FALSE)*D84,0))*(1+IF(E84="Si",(Listini!$N$170-100)/100,0)+IF(F84="Si",(Listini!$N$171-100)/100,0)+IF(G84="Si",(Listini!$N$172-100)/100,0)),0)</f>
        <v>0</v>
      </c>
      <c r="N84" s="50">
        <f>IF(B84&lt;&gt;0,VLOOKUP(B84,Listini!$A$135:$V$138,15,FALSE)*C84*(1+IF(E84="Si",(Listini!$Q$170-100)/100,0)+IF(G84="Si",(Listini!$Q$172-100)/100,0)),0)</f>
        <v>0</v>
      </c>
      <c r="O84" s="50">
        <f>IF(B84&lt;&gt;0,(VLOOKUP(B84,Listini!$A$135:$V$138,16,FALSE)*C84+IF(D84&lt;&gt;0,VLOOKUP(CONCATENATE(B84,"-BR"),Listini!$A$164:$V$167,16,FALSE)*D84,0))*(1+IF(E84="Si",(Listini!$R$170-100)/100,0)+IF(F84="Si",(Listini!$R$171-100)/100,0)+IF(G84="Si",(Listini!$R$172-100)/100,0)),0)</f>
        <v>0</v>
      </c>
      <c r="P84" s="50">
        <f>IF(B84&lt;&gt;0,VLOOKUP(B84,Listini!$A$135:$V$138,19,FALSE)*C84*(1+IF(E84="Si",(Listini!$U$170-100)/100,0)+IF(G84="Si",(Listini!$U$172-100)/100,0)),0)</f>
        <v>0</v>
      </c>
      <c r="Q84" s="50">
        <f>IF(B84&lt;&gt;0,(VLOOKUP(B84,Listini!$A$135:$V$138,20,FALSE)*C84+IF(D84&lt;&gt;0,VLOOKUP(CONCATENATE(B84,"-BR"),Listini!$A$164:$V$167,20,FALSE)*D84,0))*(1+IF(E84="Si",(Listini!$V$170-100)/100,0)+IF(F84="Si",(Listini!$V$171-100)/100,0)+IF(G84="Si",(Listini!$V$172-100)/100,0)),0)</f>
        <v>0</v>
      </c>
      <c r="R84" s="50">
        <f>IF(B84&lt;&gt;0,VLOOKUP(B84,'Listino Offerta'!$A$135:$V$138,3,FALSE)*C84*(1+IF(E84="Si",('Listino Offerta'!$E$170-100)/100,0)+IF(G84="Si",('Listino Offerta'!$E$172-100)/100,0)),0)</f>
        <v>0</v>
      </c>
      <c r="S84" s="50">
        <f>IF(B84&lt;&gt;0,(VLOOKUP(B84,'Listino Offerta'!$A$135:$AD$138,4,FALSE)*C84+IF(D84&lt;&gt;0,VLOOKUP(CONCATENATE(B84,"-BR"),'Listino Offerta'!$A$164:$V$167,4,FALSE)*D84,0))*(1+IF(E84="Si",('Listino Offerta'!$F$170-100)/100,0)+IF(F84="Si",('Listino Offerta'!$F$171-100)/100,0)+IF(G84="Si",('Listino Offerta'!$F$172-100)/100,0)),0)</f>
        <v>0</v>
      </c>
    </row>
    <row r="85" spans="1:19" s="244" customFormat="1" ht="12.75" customHeight="1">
      <c r="A85" s="245">
        <v>11</v>
      </c>
      <c r="B85" s="245">
        <f>'Servizi Com. Evoluta - VoIP'!D34</f>
        <v>0</v>
      </c>
      <c r="C85" s="244">
        <f>'Servizi Com. Evoluta - VoIP'!E34</f>
        <v>0</v>
      </c>
      <c r="D85" s="245">
        <f>'Servizi Com. Evoluta - VoIP'!F34</f>
        <v>0</v>
      </c>
      <c r="E85" s="242" t="str">
        <f>IF(AND('Servizi Com. Evoluta - VoIP'!G34="Si",'Servizi Com. Evoluta - VoIP'!H34&lt;&gt;"Si"),"Si","")</f>
        <v/>
      </c>
      <c r="F85" s="242" t="str">
        <f>IF(AND('Servizi Com. Evoluta - VoIP'!G34&lt;&gt;"Si",'Servizi Com. Evoluta - VoIP'!H34="Si"),"Si","")</f>
        <v/>
      </c>
      <c r="G85" s="242" t="str">
        <f>IF(AND('Servizi Com. Evoluta - VoIP'!G34="Si",'Servizi Com. Evoluta - VoIP'!H34="Si"),"Si","")</f>
        <v/>
      </c>
      <c r="H85" s="50">
        <f>IF(B85&lt;&gt;0,VLOOKUP(B85,Listini!$A$135:$V$138,3,FALSE)*C85*(1+IF(E85="Si",(Listini!$E$170-100)/100,0)+IF(G85="Si",(Listini!$E$172-100)/100,0)),0)</f>
        <v>0</v>
      </c>
      <c r="I85" s="50">
        <f>IF(B85&lt;&gt;0,(VLOOKUP(B85,Listini!$A$135:$V$138,4,FALSE)*C85+IF(D85&lt;&gt;0,VLOOKUP(CONCATENATE(B85,"-BR"),Listini!$A$164:$V$167,4,FALSE)*D85,0))*(1+IF(E85="Si",(Listini!$F$170-100)/100,0)+IF(F85="Si",(Listini!$F$171-100)/100,0)+IF(G85="Si",(Listini!$F$172-100)/100,0)),0)</f>
        <v>0</v>
      </c>
      <c r="J85" s="50">
        <f>IF(B85&lt;&gt;0,VLOOKUP(B85,Listini!$A$135:$V$138,7,FALSE)*C85*(1+IF(E85="Si",(Listini!$I$170-100)/100,0)+IF(G85="Si",(Listini!$I$172-100)/100,0)),0)</f>
        <v>0</v>
      </c>
      <c r="K85" s="50">
        <f>IF(B85&lt;&gt;0,(VLOOKUP(B85,Listini!$A$135:$V$138,8,FALSE)*C85+IF(D85&lt;&gt;0,VLOOKUP(CONCATENATE(B85,"-BR"),Listini!$A$164:$V$167,8,FALSE)*D85,0))*(1+IF(E85="Si",(Listini!$J$170-100)/100,0)+IF(F85="Si",(Listini!$J$171-100)/100,0)+IF(G85="Si",(Listini!$J$172-100)/100,0)),0)</f>
        <v>0</v>
      </c>
      <c r="L85" s="50">
        <f>IF(B85&lt;&gt;0,VLOOKUP(B85,Listini!$A$135:$V$138,11,FALSE)*C85*(1+IF(E85="Si",(Listini!$M$170-100)/100,0)+IF(G85="Si",(Listini!$M$172-100)/100,0)),0)</f>
        <v>0</v>
      </c>
      <c r="M85" s="50">
        <f>IF(B85&lt;&gt;0,(VLOOKUP(B85,Listini!$A$135:$V$138,12,FALSE)*C85+IF(D85&lt;&gt;0,VLOOKUP(CONCATENATE(B85,"-BR"),Listini!$A$164:$V$167,12,FALSE)*D85,0))*(1+IF(E85="Si",(Listini!$N$170-100)/100,0)+IF(F85="Si",(Listini!$N$171-100)/100,0)+IF(G85="Si",(Listini!$N$172-100)/100,0)),0)</f>
        <v>0</v>
      </c>
      <c r="N85" s="50">
        <f>IF(B85&lt;&gt;0,VLOOKUP(B85,Listini!$A$135:$V$138,15,FALSE)*C85*(1+IF(E85="Si",(Listini!$Q$170-100)/100,0)+IF(G85="Si",(Listini!$Q$172-100)/100,0)),0)</f>
        <v>0</v>
      </c>
      <c r="O85" s="50">
        <f>IF(B85&lt;&gt;0,(VLOOKUP(B85,Listini!$A$135:$V$138,16,FALSE)*C85+IF(D85&lt;&gt;0,VLOOKUP(CONCATENATE(B85,"-BR"),Listini!$A$164:$V$167,16,FALSE)*D85,0))*(1+IF(E85="Si",(Listini!$R$170-100)/100,0)+IF(F85="Si",(Listini!$R$171-100)/100,0)+IF(G85="Si",(Listini!$R$172-100)/100,0)),0)</f>
        <v>0</v>
      </c>
      <c r="P85" s="50">
        <f>IF(B85&lt;&gt;0,VLOOKUP(B85,Listini!$A$135:$V$138,19,FALSE)*C85*(1+IF(E85="Si",(Listini!$U$170-100)/100,0)+IF(G85="Si",(Listini!$U$172-100)/100,0)),0)</f>
        <v>0</v>
      </c>
      <c r="Q85" s="50">
        <f>IF(B85&lt;&gt;0,(VLOOKUP(B85,Listini!$A$135:$V$138,20,FALSE)*C85+IF(D85&lt;&gt;0,VLOOKUP(CONCATENATE(B85,"-BR"),Listini!$A$164:$V$167,20,FALSE)*D85,0))*(1+IF(E85="Si",(Listini!$V$170-100)/100,0)+IF(F85="Si",(Listini!$V$171-100)/100,0)+IF(G85="Si",(Listini!$V$172-100)/100,0)),0)</f>
        <v>0</v>
      </c>
      <c r="R85" s="50">
        <f>IF(B85&lt;&gt;0,VLOOKUP(B85,'Listino Offerta'!$A$135:$V$138,3,FALSE)*C85*(1+IF(E85="Si",('Listino Offerta'!$E$170-100)/100,0)+IF(G85="Si",('Listino Offerta'!$E$172-100)/100,0)),0)</f>
        <v>0</v>
      </c>
      <c r="S85" s="50">
        <f>IF(B85&lt;&gt;0,(VLOOKUP(B85,'Listino Offerta'!$A$135:$AD$138,4,FALSE)*C85+IF(D85&lt;&gt;0,VLOOKUP(CONCATENATE(B85,"-BR"),'Listino Offerta'!$A$164:$V$167,4,FALSE)*D85,0))*(1+IF(E85="Si",('Listino Offerta'!$F$170-100)/100,0)+IF(F85="Si",('Listino Offerta'!$F$171-100)/100,0)+IF(G85="Si",('Listino Offerta'!$F$172-100)/100,0)),0)</f>
        <v>0</v>
      </c>
    </row>
    <row r="86" spans="1:19" s="244" customFormat="1" ht="12.75" customHeight="1">
      <c r="A86" s="245">
        <v>12</v>
      </c>
      <c r="B86" s="245">
        <f>'Servizi Com. Evoluta - VoIP'!D35</f>
        <v>0</v>
      </c>
      <c r="C86" s="244">
        <f>'Servizi Com. Evoluta - VoIP'!E35</f>
        <v>0</v>
      </c>
      <c r="D86" s="245">
        <f>'Servizi Com. Evoluta - VoIP'!F35</f>
        <v>0</v>
      </c>
      <c r="E86" s="242" t="str">
        <f>IF(AND('Servizi Com. Evoluta - VoIP'!G35="Si",'Servizi Com. Evoluta - VoIP'!H35&lt;&gt;"Si"),"Si","")</f>
        <v/>
      </c>
      <c r="F86" s="242" t="str">
        <f>IF(AND('Servizi Com. Evoluta - VoIP'!G35&lt;&gt;"Si",'Servizi Com. Evoluta - VoIP'!H35="Si"),"Si","")</f>
        <v/>
      </c>
      <c r="G86" s="242" t="str">
        <f>IF(AND('Servizi Com. Evoluta - VoIP'!G35="Si",'Servizi Com. Evoluta - VoIP'!H35="Si"),"Si","")</f>
        <v/>
      </c>
      <c r="H86" s="50">
        <f>IF(B86&lt;&gt;0,VLOOKUP(B86,Listini!$A$135:$V$138,3,FALSE)*C86*(1+IF(E86="Si",(Listini!$E$170-100)/100,0)+IF(G86="Si",(Listini!$E$172-100)/100,0)),0)</f>
        <v>0</v>
      </c>
      <c r="I86" s="50">
        <f>IF(B86&lt;&gt;0,(VLOOKUP(B86,Listini!$A$135:$V$138,4,FALSE)*C86+IF(D86&lt;&gt;0,VLOOKUP(CONCATENATE(B86,"-BR"),Listini!$A$164:$V$167,4,FALSE)*D86,0))*(1+IF(E86="Si",(Listini!$F$170-100)/100,0)+IF(F86="Si",(Listini!$F$171-100)/100,0)+IF(G86="Si",(Listini!$F$172-100)/100,0)),0)</f>
        <v>0</v>
      </c>
      <c r="J86" s="50">
        <f>IF(B86&lt;&gt;0,VLOOKUP(B86,Listini!$A$135:$V$138,7,FALSE)*C86*(1+IF(E86="Si",(Listini!$I$170-100)/100,0)+IF(G86="Si",(Listini!$I$172-100)/100,0)),0)</f>
        <v>0</v>
      </c>
      <c r="K86" s="50">
        <f>IF(B86&lt;&gt;0,(VLOOKUP(B86,Listini!$A$135:$V$138,8,FALSE)*C86+IF(D86&lt;&gt;0,VLOOKUP(CONCATENATE(B86,"-BR"),Listini!$A$164:$V$167,8,FALSE)*D86,0))*(1+IF(E86="Si",(Listini!$J$170-100)/100,0)+IF(F86="Si",(Listini!$J$171-100)/100,0)+IF(G86="Si",(Listini!$J$172-100)/100,0)),0)</f>
        <v>0</v>
      </c>
      <c r="L86" s="50">
        <f>IF(B86&lt;&gt;0,VLOOKUP(B86,Listini!$A$135:$V$138,11,FALSE)*C86*(1+IF(E86="Si",(Listini!$M$170-100)/100,0)+IF(G86="Si",(Listini!$M$172-100)/100,0)),0)</f>
        <v>0</v>
      </c>
      <c r="M86" s="50">
        <f>IF(B86&lt;&gt;0,(VLOOKUP(B86,Listini!$A$135:$V$138,12,FALSE)*C86+IF(D86&lt;&gt;0,VLOOKUP(CONCATENATE(B86,"-BR"),Listini!$A$164:$V$167,12,FALSE)*D86,0))*(1+IF(E86="Si",(Listini!$N$170-100)/100,0)+IF(F86="Si",(Listini!$N$171-100)/100,0)+IF(G86="Si",(Listini!$N$172-100)/100,0)),0)</f>
        <v>0</v>
      </c>
      <c r="N86" s="50">
        <f>IF(B86&lt;&gt;0,VLOOKUP(B86,Listini!$A$135:$V$138,15,FALSE)*C86*(1+IF(E86="Si",(Listini!$Q$170-100)/100,0)+IF(G86="Si",(Listini!$Q$172-100)/100,0)),0)</f>
        <v>0</v>
      </c>
      <c r="O86" s="50">
        <f>IF(B86&lt;&gt;0,(VLOOKUP(B86,Listini!$A$135:$V$138,16,FALSE)*C86+IF(D86&lt;&gt;0,VLOOKUP(CONCATENATE(B86,"-BR"),Listini!$A$164:$V$167,16,FALSE)*D86,0))*(1+IF(E86="Si",(Listini!$R$170-100)/100,0)+IF(F86="Si",(Listini!$R$171-100)/100,0)+IF(G86="Si",(Listini!$R$172-100)/100,0)),0)</f>
        <v>0</v>
      </c>
      <c r="P86" s="50">
        <f>IF(B86&lt;&gt;0,VLOOKUP(B86,Listini!$A$135:$V$138,19,FALSE)*C86*(1+IF(E86="Si",(Listini!$U$170-100)/100,0)+IF(G86="Si",(Listini!$U$172-100)/100,0)),0)</f>
        <v>0</v>
      </c>
      <c r="Q86" s="50">
        <f>IF(B86&lt;&gt;0,(VLOOKUP(B86,Listini!$A$135:$V$138,20,FALSE)*C86+IF(D86&lt;&gt;0,VLOOKUP(CONCATENATE(B86,"-BR"),Listini!$A$164:$V$167,20,FALSE)*D86,0))*(1+IF(E86="Si",(Listini!$V$170-100)/100,0)+IF(F86="Si",(Listini!$V$171-100)/100,0)+IF(G86="Si",(Listini!$V$172-100)/100,0)),0)</f>
        <v>0</v>
      </c>
      <c r="R86" s="50">
        <f>IF(B86&lt;&gt;0,VLOOKUP(B86,'Listino Offerta'!$A$135:$V$138,3,FALSE)*C86*(1+IF(E86="Si",('Listino Offerta'!$E$170-100)/100,0)+IF(G86="Si",('Listino Offerta'!$E$172-100)/100,0)),0)</f>
        <v>0</v>
      </c>
      <c r="S86" s="50">
        <f>IF(B86&lt;&gt;0,(VLOOKUP(B86,'Listino Offerta'!$A$135:$AD$138,4,FALSE)*C86+IF(D86&lt;&gt;0,VLOOKUP(CONCATENATE(B86,"-BR"),'Listino Offerta'!$A$164:$V$167,4,FALSE)*D86,0))*(1+IF(E86="Si",('Listino Offerta'!$F$170-100)/100,0)+IF(F86="Si",('Listino Offerta'!$F$171-100)/100,0)+IF(G86="Si",('Listino Offerta'!$F$172-100)/100,0)),0)</f>
        <v>0</v>
      </c>
    </row>
    <row r="87" spans="1:19" s="244" customFormat="1" ht="12.75" customHeight="1">
      <c r="A87" s="245">
        <v>13</v>
      </c>
      <c r="B87" s="245">
        <f>'Servizi Com. Evoluta - VoIP'!D36</f>
        <v>0</v>
      </c>
      <c r="C87" s="244">
        <f>'Servizi Com. Evoluta - VoIP'!E36</f>
        <v>0</v>
      </c>
      <c r="D87" s="245">
        <f>'Servizi Com. Evoluta - VoIP'!F36</f>
        <v>0</v>
      </c>
      <c r="E87" s="242" t="str">
        <f>IF(AND('Servizi Com. Evoluta - VoIP'!G36="Si",'Servizi Com. Evoluta - VoIP'!H36&lt;&gt;"Si"),"Si","")</f>
        <v/>
      </c>
      <c r="F87" s="242" t="str">
        <f>IF(AND('Servizi Com. Evoluta - VoIP'!G36&lt;&gt;"Si",'Servizi Com. Evoluta - VoIP'!H36="Si"),"Si","")</f>
        <v/>
      </c>
      <c r="G87" s="242" t="str">
        <f>IF(AND('Servizi Com. Evoluta - VoIP'!G36="Si",'Servizi Com. Evoluta - VoIP'!H36="Si"),"Si","")</f>
        <v/>
      </c>
      <c r="H87" s="50">
        <f>IF(B87&lt;&gt;0,VLOOKUP(B87,Listini!$A$135:$V$138,3,FALSE)*C87*(1+IF(E87="Si",(Listini!$E$170-100)/100,0)+IF(G87="Si",(Listini!$E$172-100)/100,0)),0)</f>
        <v>0</v>
      </c>
      <c r="I87" s="50">
        <f>IF(B87&lt;&gt;0,(VLOOKUP(B87,Listini!$A$135:$V$138,4,FALSE)*C87+IF(D87&lt;&gt;0,VLOOKUP(CONCATENATE(B87,"-BR"),Listini!$A$164:$V$167,4,FALSE)*D87,0))*(1+IF(E87="Si",(Listini!$F$170-100)/100,0)+IF(F87="Si",(Listini!$F$171-100)/100,0)+IF(G87="Si",(Listini!$F$172-100)/100,0)),0)</f>
        <v>0</v>
      </c>
      <c r="J87" s="50">
        <f>IF(B87&lt;&gt;0,VLOOKUP(B87,Listini!$A$135:$V$138,7,FALSE)*C87*(1+IF(E87="Si",(Listini!$I$170-100)/100,0)+IF(G87="Si",(Listini!$I$172-100)/100,0)),0)</f>
        <v>0</v>
      </c>
      <c r="K87" s="50">
        <f>IF(B87&lt;&gt;0,(VLOOKUP(B87,Listini!$A$135:$V$138,8,FALSE)*C87+IF(D87&lt;&gt;0,VLOOKUP(CONCATENATE(B87,"-BR"),Listini!$A$164:$V$167,8,FALSE)*D87,0))*(1+IF(E87="Si",(Listini!$J$170-100)/100,0)+IF(F87="Si",(Listini!$J$171-100)/100,0)+IF(G87="Si",(Listini!$J$172-100)/100,0)),0)</f>
        <v>0</v>
      </c>
      <c r="L87" s="50">
        <f>IF(B87&lt;&gt;0,VLOOKUP(B87,Listini!$A$135:$V$138,11,FALSE)*C87*(1+IF(E87="Si",(Listini!$M$170-100)/100,0)+IF(G87="Si",(Listini!$M$172-100)/100,0)),0)</f>
        <v>0</v>
      </c>
      <c r="M87" s="50">
        <f>IF(B87&lt;&gt;0,(VLOOKUP(B87,Listini!$A$135:$V$138,12,FALSE)*C87+IF(D87&lt;&gt;0,VLOOKUP(CONCATENATE(B87,"-BR"),Listini!$A$164:$V$167,12,FALSE)*D87,0))*(1+IF(E87="Si",(Listini!$N$170-100)/100,0)+IF(F87="Si",(Listini!$N$171-100)/100,0)+IF(G87="Si",(Listini!$N$172-100)/100,0)),0)</f>
        <v>0</v>
      </c>
      <c r="N87" s="50">
        <f>IF(B87&lt;&gt;0,VLOOKUP(B87,Listini!$A$135:$V$138,15,FALSE)*C87*(1+IF(E87="Si",(Listini!$Q$170-100)/100,0)+IF(G87="Si",(Listini!$Q$172-100)/100,0)),0)</f>
        <v>0</v>
      </c>
      <c r="O87" s="50">
        <f>IF(B87&lt;&gt;0,(VLOOKUP(B87,Listini!$A$135:$V$138,16,FALSE)*C87+IF(D87&lt;&gt;0,VLOOKUP(CONCATENATE(B87,"-BR"),Listini!$A$164:$V$167,16,FALSE)*D87,0))*(1+IF(E87="Si",(Listini!$R$170-100)/100,0)+IF(F87="Si",(Listini!$R$171-100)/100,0)+IF(G87="Si",(Listini!$R$172-100)/100,0)),0)</f>
        <v>0</v>
      </c>
      <c r="P87" s="50">
        <f>IF(B87&lt;&gt;0,VLOOKUP(B87,Listini!$A$135:$V$138,19,FALSE)*C87*(1+IF(E87="Si",(Listini!$U$170-100)/100,0)+IF(G87="Si",(Listini!$U$172-100)/100,0)),0)</f>
        <v>0</v>
      </c>
      <c r="Q87" s="50">
        <f>IF(B87&lt;&gt;0,(VLOOKUP(B87,Listini!$A$135:$V$138,20,FALSE)*C87+IF(D87&lt;&gt;0,VLOOKUP(CONCATENATE(B87,"-BR"),Listini!$A$164:$V$167,20,FALSE)*D87,0))*(1+IF(E87="Si",(Listini!$V$170-100)/100,0)+IF(F87="Si",(Listini!$V$171-100)/100,0)+IF(G87="Si",(Listini!$V$172-100)/100,0)),0)</f>
        <v>0</v>
      </c>
      <c r="R87" s="50">
        <f>IF(B87&lt;&gt;0,VLOOKUP(B87,'Listino Offerta'!$A$135:$V$138,3,FALSE)*C87*(1+IF(E87="Si",('Listino Offerta'!$E$170-100)/100,0)+IF(G87="Si",('Listino Offerta'!$E$172-100)/100,0)),0)</f>
        <v>0</v>
      </c>
      <c r="S87" s="50">
        <f>IF(B87&lt;&gt;0,(VLOOKUP(B87,'Listino Offerta'!$A$135:$AD$138,4,FALSE)*C87+IF(D87&lt;&gt;0,VLOOKUP(CONCATENATE(B87,"-BR"),'Listino Offerta'!$A$164:$V$167,4,FALSE)*D87,0))*(1+IF(E87="Si",('Listino Offerta'!$F$170-100)/100,0)+IF(F87="Si",('Listino Offerta'!$F$171-100)/100,0)+IF(G87="Si",('Listino Offerta'!$F$172-100)/100,0)),0)</f>
        <v>0</v>
      </c>
    </row>
    <row r="88" spans="1:19" s="244" customFormat="1" ht="12.75" customHeight="1">
      <c r="A88" s="245">
        <v>14</v>
      </c>
      <c r="B88" s="245">
        <f>'Servizi Com. Evoluta - VoIP'!D37</f>
        <v>0</v>
      </c>
      <c r="C88" s="244">
        <f>'Servizi Com. Evoluta - VoIP'!E37</f>
        <v>0</v>
      </c>
      <c r="D88" s="245">
        <f>'Servizi Com. Evoluta - VoIP'!F37</f>
        <v>0</v>
      </c>
      <c r="E88" s="242" t="str">
        <f>IF(AND('Servizi Com. Evoluta - VoIP'!G37="Si",'Servizi Com. Evoluta - VoIP'!H37&lt;&gt;"Si"),"Si","")</f>
        <v/>
      </c>
      <c r="F88" s="242" t="str">
        <f>IF(AND('Servizi Com. Evoluta - VoIP'!G37&lt;&gt;"Si",'Servizi Com. Evoluta - VoIP'!H37="Si"),"Si","")</f>
        <v/>
      </c>
      <c r="G88" s="242" t="str">
        <f>IF(AND('Servizi Com. Evoluta - VoIP'!G37="Si",'Servizi Com. Evoluta - VoIP'!H37="Si"),"Si","")</f>
        <v/>
      </c>
      <c r="H88" s="50">
        <f>IF(B88&lt;&gt;0,VLOOKUP(B88,Listini!$A$135:$V$138,3,FALSE)*C88*(1+IF(E88="Si",(Listini!$E$170-100)/100,0)+IF(G88="Si",(Listini!$E$172-100)/100,0)),0)</f>
        <v>0</v>
      </c>
      <c r="I88" s="50">
        <f>IF(B88&lt;&gt;0,(VLOOKUP(B88,Listini!$A$135:$V$138,4,FALSE)*C88+IF(D88&lt;&gt;0,VLOOKUP(CONCATENATE(B88,"-BR"),Listini!$A$164:$V$167,4,FALSE)*D88,0))*(1+IF(E88="Si",(Listini!$F$170-100)/100,0)+IF(F88="Si",(Listini!$F$171-100)/100,0)+IF(G88="Si",(Listini!$F$172-100)/100,0)),0)</f>
        <v>0</v>
      </c>
      <c r="J88" s="50">
        <f>IF(B88&lt;&gt;0,VLOOKUP(B88,Listini!$A$135:$V$138,7,FALSE)*C88*(1+IF(E88="Si",(Listini!$I$170-100)/100,0)+IF(G88="Si",(Listini!$I$172-100)/100,0)),0)</f>
        <v>0</v>
      </c>
      <c r="K88" s="50">
        <f>IF(B88&lt;&gt;0,(VLOOKUP(B88,Listini!$A$135:$V$138,8,FALSE)*C88+IF(D88&lt;&gt;0,VLOOKUP(CONCATENATE(B88,"-BR"),Listini!$A$164:$V$167,8,FALSE)*D88,0))*(1+IF(E88="Si",(Listini!$J$170-100)/100,0)+IF(F88="Si",(Listini!$J$171-100)/100,0)+IF(G88="Si",(Listini!$J$172-100)/100,0)),0)</f>
        <v>0</v>
      </c>
      <c r="L88" s="50">
        <f>IF(B88&lt;&gt;0,VLOOKUP(B88,Listini!$A$135:$V$138,11,FALSE)*C88*(1+IF(E88="Si",(Listini!$M$170-100)/100,0)+IF(G88="Si",(Listini!$M$172-100)/100,0)),0)</f>
        <v>0</v>
      </c>
      <c r="M88" s="50">
        <f>IF(B88&lt;&gt;0,(VLOOKUP(B88,Listini!$A$135:$V$138,12,FALSE)*C88+IF(D88&lt;&gt;0,VLOOKUP(CONCATENATE(B88,"-BR"),Listini!$A$164:$V$167,12,FALSE)*D88,0))*(1+IF(E88="Si",(Listini!$N$170-100)/100,0)+IF(F88="Si",(Listini!$N$171-100)/100,0)+IF(G88="Si",(Listini!$N$172-100)/100,0)),0)</f>
        <v>0</v>
      </c>
      <c r="N88" s="50">
        <f>IF(B88&lt;&gt;0,VLOOKUP(B88,Listini!$A$135:$V$138,15,FALSE)*C88*(1+IF(E88="Si",(Listini!$Q$170-100)/100,0)+IF(G88="Si",(Listini!$Q$172-100)/100,0)),0)</f>
        <v>0</v>
      </c>
      <c r="O88" s="50">
        <f>IF(B88&lt;&gt;0,(VLOOKUP(B88,Listini!$A$135:$V$138,16,FALSE)*C88+IF(D88&lt;&gt;0,VLOOKUP(CONCATENATE(B88,"-BR"),Listini!$A$164:$V$167,16,FALSE)*D88,0))*(1+IF(E88="Si",(Listini!$R$170-100)/100,0)+IF(F88="Si",(Listini!$R$171-100)/100,0)+IF(G88="Si",(Listini!$R$172-100)/100,0)),0)</f>
        <v>0</v>
      </c>
      <c r="P88" s="50">
        <f>IF(B88&lt;&gt;0,VLOOKUP(B88,Listini!$A$135:$V$138,19,FALSE)*C88*(1+IF(E88="Si",(Listini!$U$170-100)/100,0)+IF(G88="Si",(Listini!$U$172-100)/100,0)),0)</f>
        <v>0</v>
      </c>
      <c r="Q88" s="50">
        <f>IF(B88&lt;&gt;0,(VLOOKUP(B88,Listini!$A$135:$V$138,20,FALSE)*C88+IF(D88&lt;&gt;0,VLOOKUP(CONCATENATE(B88,"-BR"),Listini!$A$164:$V$167,20,FALSE)*D88,0))*(1+IF(E88="Si",(Listini!$V$170-100)/100,0)+IF(F88="Si",(Listini!$V$171-100)/100,0)+IF(G88="Si",(Listini!$V$172-100)/100,0)),0)</f>
        <v>0</v>
      </c>
      <c r="R88" s="50">
        <f>IF(B88&lt;&gt;0,VLOOKUP(B88,'Listino Offerta'!$A$135:$V$138,3,FALSE)*C88*(1+IF(E88="Si",('Listino Offerta'!$E$170-100)/100,0)+IF(G88="Si",('Listino Offerta'!$E$172-100)/100,0)),0)</f>
        <v>0</v>
      </c>
      <c r="S88" s="50">
        <f>IF(B88&lt;&gt;0,(VLOOKUP(B88,'Listino Offerta'!$A$135:$AD$138,4,FALSE)*C88+IF(D88&lt;&gt;0,VLOOKUP(CONCATENATE(B88,"-BR"),'Listino Offerta'!$A$164:$V$167,4,FALSE)*D88,0))*(1+IF(E88="Si",('Listino Offerta'!$F$170-100)/100,0)+IF(F88="Si",('Listino Offerta'!$F$171-100)/100,0)+IF(G88="Si",('Listino Offerta'!$F$172-100)/100,0)),0)</f>
        <v>0</v>
      </c>
    </row>
    <row r="89" spans="1:19" s="244" customFormat="1" ht="12.75" customHeight="1">
      <c r="A89" s="245">
        <v>15</v>
      </c>
      <c r="B89" s="245">
        <f>'Servizi Com. Evoluta - VoIP'!D38</f>
        <v>0</v>
      </c>
      <c r="C89" s="244">
        <f>'Servizi Com. Evoluta - VoIP'!E38</f>
        <v>0</v>
      </c>
      <c r="D89" s="245">
        <f>'Servizi Com. Evoluta - VoIP'!F38</f>
        <v>0</v>
      </c>
      <c r="E89" s="242" t="str">
        <f>IF(AND('Servizi Com. Evoluta - VoIP'!G38="Si",'Servizi Com. Evoluta - VoIP'!H38&lt;&gt;"Si"),"Si","")</f>
        <v/>
      </c>
      <c r="F89" s="242" t="str">
        <f>IF(AND('Servizi Com. Evoluta - VoIP'!G38&lt;&gt;"Si",'Servizi Com. Evoluta - VoIP'!H38="Si"),"Si","")</f>
        <v/>
      </c>
      <c r="G89" s="242" t="str">
        <f>IF(AND('Servizi Com. Evoluta - VoIP'!G38="Si",'Servizi Com. Evoluta - VoIP'!H38="Si"),"Si","")</f>
        <v/>
      </c>
      <c r="H89" s="50">
        <f>IF(B89&lt;&gt;0,VLOOKUP(B89,Listini!$A$135:$V$138,3,FALSE)*C89*(1+IF(E89="Si",(Listini!$E$170-100)/100,0)+IF(G89="Si",(Listini!$E$172-100)/100,0)),0)</f>
        <v>0</v>
      </c>
      <c r="I89" s="50">
        <f>IF(B89&lt;&gt;0,(VLOOKUP(B89,Listini!$A$135:$V$138,4,FALSE)*C89+IF(D89&lt;&gt;0,VLOOKUP(CONCATENATE(B89,"-BR"),Listini!$A$164:$V$167,4,FALSE)*D89,0))*(1+IF(E89="Si",(Listini!$F$170-100)/100,0)+IF(F89="Si",(Listini!$F$171-100)/100,0)+IF(G89="Si",(Listini!$F$172-100)/100,0)),0)</f>
        <v>0</v>
      </c>
      <c r="J89" s="50">
        <f>IF(B89&lt;&gt;0,VLOOKUP(B89,Listini!$A$135:$V$138,7,FALSE)*C89*(1+IF(E89="Si",(Listini!$I$170-100)/100,0)+IF(G89="Si",(Listini!$I$172-100)/100,0)),0)</f>
        <v>0</v>
      </c>
      <c r="K89" s="50">
        <f>IF(B89&lt;&gt;0,(VLOOKUP(B89,Listini!$A$135:$V$138,8,FALSE)*C89+IF(D89&lt;&gt;0,VLOOKUP(CONCATENATE(B89,"-BR"),Listini!$A$164:$V$167,8,FALSE)*D89,0))*(1+IF(E89="Si",(Listini!$J$170-100)/100,0)+IF(F89="Si",(Listini!$J$171-100)/100,0)+IF(G89="Si",(Listini!$J$172-100)/100,0)),0)</f>
        <v>0</v>
      </c>
      <c r="L89" s="50">
        <f>IF(B89&lt;&gt;0,VLOOKUP(B89,Listini!$A$135:$V$138,11,FALSE)*C89*(1+IF(E89="Si",(Listini!$M$170-100)/100,0)+IF(G89="Si",(Listini!$M$172-100)/100,0)),0)</f>
        <v>0</v>
      </c>
      <c r="M89" s="50">
        <f>IF(B89&lt;&gt;0,(VLOOKUP(B89,Listini!$A$135:$V$138,12,FALSE)*C89+IF(D89&lt;&gt;0,VLOOKUP(CONCATENATE(B89,"-BR"),Listini!$A$164:$V$167,12,FALSE)*D89,0))*(1+IF(E89="Si",(Listini!$N$170-100)/100,0)+IF(F89="Si",(Listini!$N$171-100)/100,0)+IF(G89="Si",(Listini!$N$172-100)/100,0)),0)</f>
        <v>0</v>
      </c>
      <c r="N89" s="50">
        <f>IF(B89&lt;&gt;0,VLOOKUP(B89,Listini!$A$135:$V$138,15,FALSE)*C89*(1+IF(E89="Si",(Listini!$Q$170-100)/100,0)+IF(G89="Si",(Listini!$Q$172-100)/100,0)),0)</f>
        <v>0</v>
      </c>
      <c r="O89" s="50">
        <f>IF(B89&lt;&gt;0,(VLOOKUP(B89,Listini!$A$135:$V$138,16,FALSE)*C89+IF(D89&lt;&gt;0,VLOOKUP(CONCATENATE(B89,"-BR"),Listini!$A$164:$V$167,16,FALSE)*D89,0))*(1+IF(E89="Si",(Listini!$R$170-100)/100,0)+IF(F89="Si",(Listini!$R$171-100)/100,0)+IF(G89="Si",(Listini!$R$172-100)/100,0)),0)</f>
        <v>0</v>
      </c>
      <c r="P89" s="50">
        <f>IF(B89&lt;&gt;0,VLOOKUP(B89,Listini!$A$135:$V$138,19,FALSE)*C89*(1+IF(E89="Si",(Listini!$U$170-100)/100,0)+IF(G89="Si",(Listini!$U$172-100)/100,0)),0)</f>
        <v>0</v>
      </c>
      <c r="Q89" s="50">
        <f>IF(B89&lt;&gt;0,(VLOOKUP(B89,Listini!$A$135:$V$138,20,FALSE)*C89+IF(D89&lt;&gt;0,VLOOKUP(CONCATENATE(B89,"-BR"),Listini!$A$164:$V$167,20,FALSE)*D89,0))*(1+IF(E89="Si",(Listini!$V$170-100)/100,0)+IF(F89="Si",(Listini!$V$171-100)/100,0)+IF(G89="Si",(Listini!$V$172-100)/100,0)),0)</f>
        <v>0</v>
      </c>
      <c r="R89" s="50">
        <f>IF(B89&lt;&gt;0,VLOOKUP(B89,'Listino Offerta'!$A$135:$V$138,3,FALSE)*C89*(1+IF(E89="Si",('Listino Offerta'!$E$170-100)/100,0)+IF(G89="Si",('Listino Offerta'!$E$172-100)/100,0)),0)</f>
        <v>0</v>
      </c>
      <c r="S89" s="50">
        <f>IF(B89&lt;&gt;0,(VLOOKUP(B89,'Listino Offerta'!$A$135:$AD$138,4,FALSE)*C89+IF(D89&lt;&gt;0,VLOOKUP(CONCATENATE(B89,"-BR"),'Listino Offerta'!$A$164:$V$167,4,FALSE)*D89,0))*(1+IF(E89="Si",('Listino Offerta'!$F$170-100)/100,0)+IF(F89="Si",('Listino Offerta'!$F$171-100)/100,0)+IF(G89="Si",('Listino Offerta'!$F$172-100)/100,0)),0)</f>
        <v>0</v>
      </c>
    </row>
    <row r="90" spans="1:19" s="244" customFormat="1" ht="12.75" customHeight="1">
      <c r="A90" s="245">
        <v>16</v>
      </c>
      <c r="B90" s="245">
        <f>'Servizi Com. Evoluta - VoIP'!D39</f>
        <v>0</v>
      </c>
      <c r="C90" s="244">
        <f>'Servizi Com. Evoluta - VoIP'!E39</f>
        <v>0</v>
      </c>
      <c r="D90" s="245">
        <f>'Servizi Com. Evoluta - VoIP'!F39</f>
        <v>0</v>
      </c>
      <c r="E90" s="242" t="str">
        <f>IF(AND('Servizi Com. Evoluta - VoIP'!G39="Si",'Servizi Com. Evoluta - VoIP'!H39&lt;&gt;"Si"),"Si","")</f>
        <v/>
      </c>
      <c r="F90" s="242" t="str">
        <f>IF(AND('Servizi Com. Evoluta - VoIP'!G39&lt;&gt;"Si",'Servizi Com. Evoluta - VoIP'!H39="Si"),"Si","")</f>
        <v/>
      </c>
      <c r="G90" s="242" t="str">
        <f>IF(AND('Servizi Com. Evoluta - VoIP'!G39="Si",'Servizi Com. Evoluta - VoIP'!H39="Si"),"Si","")</f>
        <v/>
      </c>
      <c r="H90" s="50">
        <f>IF(B90&lt;&gt;0,VLOOKUP(B90,Listini!$A$135:$V$138,3,FALSE)*C90*(1+IF(E90="Si",(Listini!$E$170-100)/100,0)+IF(G90="Si",(Listini!$E$172-100)/100,0)),0)</f>
        <v>0</v>
      </c>
      <c r="I90" s="50">
        <f>IF(B90&lt;&gt;0,(VLOOKUP(B90,Listini!$A$135:$V$138,4,FALSE)*C90+IF(D90&lt;&gt;0,VLOOKUP(CONCATENATE(B90,"-BR"),Listini!$A$164:$V$167,4,FALSE)*D90,0))*(1+IF(E90="Si",(Listini!$F$170-100)/100,0)+IF(F90="Si",(Listini!$F$171-100)/100,0)+IF(G90="Si",(Listini!$F$172-100)/100,0)),0)</f>
        <v>0</v>
      </c>
      <c r="J90" s="50">
        <f>IF(B90&lt;&gt;0,VLOOKUP(B90,Listini!$A$135:$V$138,7,FALSE)*C90*(1+IF(E90="Si",(Listini!$I$170-100)/100,0)+IF(G90="Si",(Listini!$I$172-100)/100,0)),0)</f>
        <v>0</v>
      </c>
      <c r="K90" s="50">
        <f>IF(B90&lt;&gt;0,(VLOOKUP(B90,Listini!$A$135:$V$138,8,FALSE)*C90+IF(D90&lt;&gt;0,VLOOKUP(CONCATENATE(B90,"-BR"),Listini!$A$164:$V$167,8,FALSE)*D90,0))*(1+IF(E90="Si",(Listini!$J$170-100)/100,0)+IF(F90="Si",(Listini!$J$171-100)/100,0)+IF(G90="Si",(Listini!$J$172-100)/100,0)),0)</f>
        <v>0</v>
      </c>
      <c r="L90" s="50">
        <f>IF(B90&lt;&gt;0,VLOOKUP(B90,Listini!$A$135:$V$138,11,FALSE)*C90*(1+IF(E90="Si",(Listini!$M$170-100)/100,0)+IF(G90="Si",(Listini!$M$172-100)/100,0)),0)</f>
        <v>0</v>
      </c>
      <c r="M90" s="50">
        <f>IF(B90&lt;&gt;0,(VLOOKUP(B90,Listini!$A$135:$V$138,12,FALSE)*C90+IF(D90&lt;&gt;0,VLOOKUP(CONCATENATE(B90,"-BR"),Listini!$A$164:$V$167,12,FALSE)*D90,0))*(1+IF(E90="Si",(Listini!$N$170-100)/100,0)+IF(F90="Si",(Listini!$N$171-100)/100,0)+IF(G90="Si",(Listini!$N$172-100)/100,0)),0)</f>
        <v>0</v>
      </c>
      <c r="N90" s="50">
        <f>IF(B90&lt;&gt;0,VLOOKUP(B90,Listini!$A$135:$V$138,15,FALSE)*C90*(1+IF(E90="Si",(Listini!$Q$170-100)/100,0)+IF(G90="Si",(Listini!$Q$172-100)/100,0)),0)</f>
        <v>0</v>
      </c>
      <c r="O90" s="50">
        <f>IF(B90&lt;&gt;0,(VLOOKUP(B90,Listini!$A$135:$V$138,16,FALSE)*C90+IF(D90&lt;&gt;0,VLOOKUP(CONCATENATE(B90,"-BR"),Listini!$A$164:$V$167,16,FALSE)*D90,0))*(1+IF(E90="Si",(Listini!$R$170-100)/100,0)+IF(F90="Si",(Listini!$R$171-100)/100,0)+IF(G90="Si",(Listini!$R$172-100)/100,0)),0)</f>
        <v>0</v>
      </c>
      <c r="P90" s="50">
        <f>IF(B90&lt;&gt;0,VLOOKUP(B90,Listini!$A$135:$V$138,19,FALSE)*C90*(1+IF(E90="Si",(Listini!$U$170-100)/100,0)+IF(G90="Si",(Listini!$U$172-100)/100,0)),0)</f>
        <v>0</v>
      </c>
      <c r="Q90" s="50">
        <f>IF(B90&lt;&gt;0,(VLOOKUP(B90,Listini!$A$135:$V$138,20,FALSE)*C90+IF(D90&lt;&gt;0,VLOOKUP(CONCATENATE(B90,"-BR"),Listini!$A$164:$V$167,20,FALSE)*D90,0))*(1+IF(E90="Si",(Listini!$V$170-100)/100,0)+IF(F90="Si",(Listini!$V$171-100)/100,0)+IF(G90="Si",(Listini!$V$172-100)/100,0)),0)</f>
        <v>0</v>
      </c>
      <c r="R90" s="50">
        <f>IF(B90&lt;&gt;0,VLOOKUP(B90,'Listino Offerta'!$A$135:$V$138,3,FALSE)*C90*(1+IF(E90="Si",('Listino Offerta'!$E$170-100)/100,0)+IF(G90="Si",('Listino Offerta'!$E$172-100)/100,0)),0)</f>
        <v>0</v>
      </c>
      <c r="S90" s="50">
        <f>IF(B90&lt;&gt;0,(VLOOKUP(B90,'Listino Offerta'!$A$135:$AD$138,4,FALSE)*C90+IF(D90&lt;&gt;0,VLOOKUP(CONCATENATE(B90,"-BR"),'Listino Offerta'!$A$164:$V$167,4,FALSE)*D90,0))*(1+IF(E90="Si",('Listino Offerta'!$F$170-100)/100,0)+IF(F90="Si",('Listino Offerta'!$F$171-100)/100,0)+IF(G90="Si",('Listino Offerta'!$F$172-100)/100,0)),0)</f>
        <v>0</v>
      </c>
    </row>
    <row r="91" spans="1:19" s="244" customFormat="1" ht="12.75" customHeight="1">
      <c r="A91" s="245">
        <v>17</v>
      </c>
      <c r="B91" s="245">
        <f>'Servizi Com. Evoluta - VoIP'!D40</f>
        <v>0</v>
      </c>
      <c r="C91" s="244">
        <f>'Servizi Com. Evoluta - VoIP'!E40</f>
        <v>0</v>
      </c>
      <c r="D91" s="245">
        <f>'Servizi Com. Evoluta - VoIP'!F40</f>
        <v>0</v>
      </c>
      <c r="E91" s="242" t="str">
        <f>IF(AND('Servizi Com. Evoluta - VoIP'!G40="Si",'Servizi Com. Evoluta - VoIP'!H40&lt;&gt;"Si"),"Si","")</f>
        <v/>
      </c>
      <c r="F91" s="242" t="str">
        <f>IF(AND('Servizi Com. Evoluta - VoIP'!G40&lt;&gt;"Si",'Servizi Com. Evoluta - VoIP'!H40="Si"),"Si","")</f>
        <v/>
      </c>
      <c r="G91" s="242" t="str">
        <f>IF(AND('Servizi Com. Evoluta - VoIP'!G40="Si",'Servizi Com. Evoluta - VoIP'!H40="Si"),"Si","")</f>
        <v/>
      </c>
      <c r="H91" s="50">
        <f>IF(B91&lt;&gt;0,VLOOKUP(B91,Listini!$A$135:$V$138,3,FALSE)*C91*(1+IF(E91="Si",(Listini!$E$170-100)/100,0)+IF(G91="Si",(Listini!$E$172-100)/100,0)),0)</f>
        <v>0</v>
      </c>
      <c r="I91" s="50">
        <f>IF(B91&lt;&gt;0,(VLOOKUP(B91,Listini!$A$135:$V$138,4,FALSE)*C91+IF(D91&lt;&gt;0,VLOOKUP(CONCATENATE(B91,"-BR"),Listini!$A$164:$V$167,4,FALSE)*D91,0))*(1+IF(E91="Si",(Listini!$F$170-100)/100,0)+IF(F91="Si",(Listini!$F$171-100)/100,0)+IF(G91="Si",(Listini!$F$172-100)/100,0)),0)</f>
        <v>0</v>
      </c>
      <c r="J91" s="50">
        <f>IF(B91&lt;&gt;0,VLOOKUP(B91,Listini!$A$135:$V$138,7,FALSE)*C91*(1+IF(E91="Si",(Listini!$I$170-100)/100,0)+IF(G91="Si",(Listini!$I$172-100)/100,0)),0)</f>
        <v>0</v>
      </c>
      <c r="K91" s="50">
        <f>IF(B91&lt;&gt;0,(VLOOKUP(B91,Listini!$A$135:$V$138,8,FALSE)*C91+IF(D91&lt;&gt;0,VLOOKUP(CONCATENATE(B91,"-BR"),Listini!$A$164:$V$167,8,FALSE)*D91,0))*(1+IF(E91="Si",(Listini!$J$170-100)/100,0)+IF(F91="Si",(Listini!$J$171-100)/100,0)+IF(G91="Si",(Listini!$J$172-100)/100,0)),0)</f>
        <v>0</v>
      </c>
      <c r="L91" s="50">
        <f>IF(B91&lt;&gt;0,VLOOKUP(B91,Listini!$A$135:$V$138,11,FALSE)*C91*(1+IF(E91="Si",(Listini!$M$170-100)/100,0)+IF(G91="Si",(Listini!$M$172-100)/100,0)),0)</f>
        <v>0</v>
      </c>
      <c r="M91" s="50">
        <f>IF(B91&lt;&gt;0,(VLOOKUP(B91,Listini!$A$135:$V$138,12,FALSE)*C91+IF(D91&lt;&gt;0,VLOOKUP(CONCATENATE(B91,"-BR"),Listini!$A$164:$V$167,12,FALSE)*D91,0))*(1+IF(E91="Si",(Listini!$N$170-100)/100,0)+IF(F91="Si",(Listini!$N$171-100)/100,0)+IF(G91="Si",(Listini!$N$172-100)/100,0)),0)</f>
        <v>0</v>
      </c>
      <c r="N91" s="50">
        <f>IF(B91&lt;&gt;0,VLOOKUP(B91,Listini!$A$135:$V$138,15,FALSE)*C91*(1+IF(E91="Si",(Listini!$Q$170-100)/100,0)+IF(G91="Si",(Listini!$Q$172-100)/100,0)),0)</f>
        <v>0</v>
      </c>
      <c r="O91" s="50">
        <f>IF(B91&lt;&gt;0,(VLOOKUP(B91,Listini!$A$135:$V$138,16,FALSE)*C91+IF(D91&lt;&gt;0,VLOOKUP(CONCATENATE(B91,"-BR"),Listini!$A$164:$V$167,16,FALSE)*D91,0))*(1+IF(E91="Si",(Listini!$R$170-100)/100,0)+IF(F91="Si",(Listini!$R$171-100)/100,0)+IF(G91="Si",(Listini!$R$172-100)/100,0)),0)</f>
        <v>0</v>
      </c>
      <c r="P91" s="50">
        <f>IF(B91&lt;&gt;0,VLOOKUP(B91,Listini!$A$135:$V$138,19,FALSE)*C91*(1+IF(E91="Si",(Listini!$U$170-100)/100,0)+IF(G91="Si",(Listini!$U$172-100)/100,0)),0)</f>
        <v>0</v>
      </c>
      <c r="Q91" s="50">
        <f>IF(B91&lt;&gt;0,(VLOOKUP(B91,Listini!$A$135:$V$138,20,FALSE)*C91+IF(D91&lt;&gt;0,VLOOKUP(CONCATENATE(B91,"-BR"),Listini!$A$164:$V$167,20,FALSE)*D91,0))*(1+IF(E91="Si",(Listini!$V$170-100)/100,0)+IF(F91="Si",(Listini!$V$171-100)/100,0)+IF(G91="Si",(Listini!$V$172-100)/100,0)),0)</f>
        <v>0</v>
      </c>
      <c r="R91" s="50">
        <f>IF(B91&lt;&gt;0,VLOOKUP(B91,'Listino Offerta'!$A$135:$V$138,3,FALSE)*C91*(1+IF(E91="Si",('Listino Offerta'!$E$170-100)/100,0)+IF(G91="Si",('Listino Offerta'!$E$172-100)/100,0)),0)</f>
        <v>0</v>
      </c>
      <c r="S91" s="50">
        <f>IF(B91&lt;&gt;0,(VLOOKUP(B91,'Listino Offerta'!$A$135:$AD$138,4,FALSE)*C91+IF(D91&lt;&gt;0,VLOOKUP(CONCATENATE(B91,"-BR"),'Listino Offerta'!$A$164:$V$167,4,FALSE)*D91,0))*(1+IF(E91="Si",('Listino Offerta'!$F$170-100)/100,0)+IF(F91="Si",('Listino Offerta'!$F$171-100)/100,0)+IF(G91="Si",('Listino Offerta'!$F$172-100)/100,0)),0)</f>
        <v>0</v>
      </c>
    </row>
    <row r="92" spans="1:19" s="244" customFormat="1" ht="12.75" customHeight="1">
      <c r="A92" s="245">
        <v>18</v>
      </c>
      <c r="B92" s="245">
        <f>'Servizi Com. Evoluta - VoIP'!D41</f>
        <v>0</v>
      </c>
      <c r="C92" s="244">
        <f>'Servizi Com. Evoluta - VoIP'!E41</f>
        <v>0</v>
      </c>
      <c r="D92" s="245">
        <f>'Servizi Com. Evoluta - VoIP'!F41</f>
        <v>0</v>
      </c>
      <c r="E92" s="242" t="str">
        <f>IF(AND('Servizi Com. Evoluta - VoIP'!G41="Si",'Servizi Com. Evoluta - VoIP'!H41&lt;&gt;"Si"),"Si","")</f>
        <v/>
      </c>
      <c r="F92" s="242" t="str">
        <f>IF(AND('Servizi Com. Evoluta - VoIP'!G41&lt;&gt;"Si",'Servizi Com. Evoluta - VoIP'!H41="Si"),"Si","")</f>
        <v/>
      </c>
      <c r="G92" s="242" t="str">
        <f>IF(AND('Servizi Com. Evoluta - VoIP'!G41="Si",'Servizi Com. Evoluta - VoIP'!H41="Si"),"Si","")</f>
        <v/>
      </c>
      <c r="H92" s="50">
        <f>IF(B92&lt;&gt;0,VLOOKUP(B92,Listini!$A$135:$V$138,3,FALSE)*C92*(1+IF(E92="Si",(Listini!$E$170-100)/100,0)+IF(G92="Si",(Listini!$E$172-100)/100,0)),0)</f>
        <v>0</v>
      </c>
      <c r="I92" s="50">
        <f>IF(B92&lt;&gt;0,(VLOOKUP(B92,Listini!$A$135:$V$138,4,FALSE)*C92+IF(D92&lt;&gt;0,VLOOKUP(CONCATENATE(B92,"-BR"),Listini!$A$164:$V$167,4,FALSE)*D92,0))*(1+IF(E92="Si",(Listini!$F$170-100)/100,0)+IF(F92="Si",(Listini!$F$171-100)/100,0)+IF(G92="Si",(Listini!$F$172-100)/100,0)),0)</f>
        <v>0</v>
      </c>
      <c r="J92" s="50">
        <f>IF(B92&lt;&gt;0,VLOOKUP(B92,Listini!$A$135:$V$138,7,FALSE)*C92*(1+IF(E92="Si",(Listini!$I$170-100)/100,0)+IF(G92="Si",(Listini!$I$172-100)/100,0)),0)</f>
        <v>0</v>
      </c>
      <c r="K92" s="50">
        <f>IF(B92&lt;&gt;0,(VLOOKUP(B92,Listini!$A$135:$V$138,8,FALSE)*C92+IF(D92&lt;&gt;0,VLOOKUP(CONCATENATE(B92,"-BR"),Listini!$A$164:$V$167,8,FALSE)*D92,0))*(1+IF(E92="Si",(Listini!$J$170-100)/100,0)+IF(F92="Si",(Listini!$J$171-100)/100,0)+IF(G92="Si",(Listini!$J$172-100)/100,0)),0)</f>
        <v>0</v>
      </c>
      <c r="L92" s="50">
        <f>IF(B92&lt;&gt;0,VLOOKUP(B92,Listini!$A$135:$V$138,11,FALSE)*C92*(1+IF(E92="Si",(Listini!$M$170-100)/100,0)+IF(G92="Si",(Listini!$M$172-100)/100,0)),0)</f>
        <v>0</v>
      </c>
      <c r="M92" s="50">
        <f>IF(B92&lt;&gt;0,(VLOOKUP(B92,Listini!$A$135:$V$138,12,FALSE)*C92+IF(D92&lt;&gt;0,VLOOKUP(CONCATENATE(B92,"-BR"),Listini!$A$164:$V$167,12,FALSE)*D92,0))*(1+IF(E92="Si",(Listini!$N$170-100)/100,0)+IF(F92="Si",(Listini!$N$171-100)/100,0)+IF(G92="Si",(Listini!$N$172-100)/100,0)),0)</f>
        <v>0</v>
      </c>
      <c r="N92" s="50">
        <f>IF(B92&lt;&gt;0,VLOOKUP(B92,Listini!$A$135:$V$138,15,FALSE)*C92*(1+IF(E92="Si",(Listini!$Q$170-100)/100,0)+IF(G92="Si",(Listini!$Q$172-100)/100,0)),0)</f>
        <v>0</v>
      </c>
      <c r="O92" s="50">
        <f>IF(B92&lt;&gt;0,(VLOOKUP(B92,Listini!$A$135:$V$138,16,FALSE)*C92+IF(D92&lt;&gt;0,VLOOKUP(CONCATENATE(B92,"-BR"),Listini!$A$164:$V$167,16,FALSE)*D92,0))*(1+IF(E92="Si",(Listini!$R$170-100)/100,0)+IF(F92="Si",(Listini!$R$171-100)/100,0)+IF(G92="Si",(Listini!$R$172-100)/100,0)),0)</f>
        <v>0</v>
      </c>
      <c r="P92" s="50">
        <f>IF(B92&lt;&gt;0,VLOOKUP(B92,Listini!$A$135:$V$138,19,FALSE)*C92*(1+IF(E92="Si",(Listini!$U$170-100)/100,0)+IF(G92="Si",(Listini!$U$172-100)/100,0)),0)</f>
        <v>0</v>
      </c>
      <c r="Q92" s="50">
        <f>IF(B92&lt;&gt;0,(VLOOKUP(B92,Listini!$A$135:$V$138,20,FALSE)*C92+IF(D92&lt;&gt;0,VLOOKUP(CONCATENATE(B92,"-BR"),Listini!$A$164:$V$167,20,FALSE)*D92,0))*(1+IF(E92="Si",(Listini!$V$170-100)/100,0)+IF(F92="Si",(Listini!$V$171-100)/100,0)+IF(G92="Si",(Listini!$V$172-100)/100,0)),0)</f>
        <v>0</v>
      </c>
      <c r="R92" s="50">
        <f>IF(B92&lt;&gt;0,VLOOKUP(B92,'Listino Offerta'!$A$135:$V$138,3,FALSE)*C92*(1+IF(E92="Si",('Listino Offerta'!$E$170-100)/100,0)+IF(G92="Si",('Listino Offerta'!$E$172-100)/100,0)),0)</f>
        <v>0</v>
      </c>
      <c r="S92" s="50">
        <f>IF(B92&lt;&gt;0,(VLOOKUP(B92,'Listino Offerta'!$A$135:$AD$138,4,FALSE)*C92+IF(D92&lt;&gt;0,VLOOKUP(CONCATENATE(B92,"-BR"),'Listino Offerta'!$A$164:$V$167,4,FALSE)*D92,0))*(1+IF(E92="Si",('Listino Offerta'!$F$170-100)/100,0)+IF(F92="Si",('Listino Offerta'!$F$171-100)/100,0)+IF(G92="Si",('Listino Offerta'!$F$172-100)/100,0)),0)</f>
        <v>0</v>
      </c>
    </row>
    <row r="93" spans="1:19" s="244" customFormat="1" ht="12.75" customHeight="1">
      <c r="A93" s="245">
        <v>19</v>
      </c>
      <c r="B93" s="245">
        <f>'Servizi Com. Evoluta - VoIP'!D42</f>
        <v>0</v>
      </c>
      <c r="C93" s="244">
        <f>'Servizi Com. Evoluta - VoIP'!E42</f>
        <v>0</v>
      </c>
      <c r="D93" s="245">
        <f>'Servizi Com. Evoluta - VoIP'!F42</f>
        <v>0</v>
      </c>
      <c r="E93" s="242" t="str">
        <f>IF(AND('Servizi Com. Evoluta - VoIP'!G42="Si",'Servizi Com. Evoluta - VoIP'!H42&lt;&gt;"Si"),"Si","")</f>
        <v/>
      </c>
      <c r="F93" s="242" t="str">
        <f>IF(AND('Servizi Com. Evoluta - VoIP'!G42&lt;&gt;"Si",'Servizi Com. Evoluta - VoIP'!H42="Si"),"Si","")</f>
        <v/>
      </c>
      <c r="G93" s="242" t="str">
        <f>IF(AND('Servizi Com. Evoluta - VoIP'!G42="Si",'Servizi Com. Evoluta - VoIP'!H42="Si"),"Si","")</f>
        <v/>
      </c>
      <c r="H93" s="50">
        <f>IF(B93&lt;&gt;0,VLOOKUP(B93,Listini!$A$135:$V$138,3,FALSE)*C93*(1+IF(E93="Si",(Listini!$E$170-100)/100,0)+IF(G93="Si",(Listini!$E$172-100)/100,0)),0)</f>
        <v>0</v>
      </c>
      <c r="I93" s="50">
        <f>IF(B93&lt;&gt;0,(VLOOKUP(B93,Listini!$A$135:$V$138,4,FALSE)*C93+IF(D93&lt;&gt;0,VLOOKUP(CONCATENATE(B93,"-BR"),Listini!$A$164:$V$167,4,FALSE)*D93,0))*(1+IF(E93="Si",(Listini!$F$170-100)/100,0)+IF(F93="Si",(Listini!$F$171-100)/100,0)+IF(G93="Si",(Listini!$F$172-100)/100,0)),0)</f>
        <v>0</v>
      </c>
      <c r="J93" s="50">
        <f>IF(B93&lt;&gt;0,VLOOKUP(B93,Listini!$A$135:$V$138,7,FALSE)*C93*(1+IF(E93="Si",(Listini!$I$170-100)/100,0)+IF(G93="Si",(Listini!$I$172-100)/100,0)),0)</f>
        <v>0</v>
      </c>
      <c r="K93" s="50">
        <f>IF(B93&lt;&gt;0,(VLOOKUP(B93,Listini!$A$135:$V$138,8,FALSE)*C93+IF(D93&lt;&gt;0,VLOOKUP(CONCATENATE(B93,"-BR"),Listini!$A$164:$V$167,8,FALSE)*D93,0))*(1+IF(E93="Si",(Listini!$J$170-100)/100,0)+IF(F93="Si",(Listini!$J$171-100)/100,0)+IF(G93="Si",(Listini!$J$172-100)/100,0)),0)</f>
        <v>0</v>
      </c>
      <c r="L93" s="50">
        <f>IF(B93&lt;&gt;0,VLOOKUP(B93,Listini!$A$135:$V$138,11,FALSE)*C93*(1+IF(E93="Si",(Listini!$M$170-100)/100,0)+IF(G93="Si",(Listini!$M$172-100)/100,0)),0)</f>
        <v>0</v>
      </c>
      <c r="M93" s="50">
        <f>IF(B93&lt;&gt;0,(VLOOKUP(B93,Listini!$A$135:$V$138,12,FALSE)*C93+IF(D93&lt;&gt;0,VLOOKUP(CONCATENATE(B93,"-BR"),Listini!$A$164:$V$167,12,FALSE)*D93,0))*(1+IF(E93="Si",(Listini!$N$170-100)/100,0)+IF(F93="Si",(Listini!$N$171-100)/100,0)+IF(G93="Si",(Listini!$N$172-100)/100,0)),0)</f>
        <v>0</v>
      </c>
      <c r="N93" s="50">
        <f>IF(B93&lt;&gt;0,VLOOKUP(B93,Listini!$A$135:$V$138,15,FALSE)*C93*(1+IF(E93="Si",(Listini!$Q$170-100)/100,0)+IF(G93="Si",(Listini!$Q$172-100)/100,0)),0)</f>
        <v>0</v>
      </c>
      <c r="O93" s="50">
        <f>IF(B93&lt;&gt;0,(VLOOKUP(B93,Listini!$A$135:$V$138,16,FALSE)*C93+IF(D93&lt;&gt;0,VLOOKUP(CONCATENATE(B93,"-BR"),Listini!$A$164:$V$167,16,FALSE)*D93,0))*(1+IF(E93="Si",(Listini!$R$170-100)/100,0)+IF(F93="Si",(Listini!$R$171-100)/100,0)+IF(G93="Si",(Listini!$R$172-100)/100,0)),0)</f>
        <v>0</v>
      </c>
      <c r="P93" s="50">
        <f>IF(B93&lt;&gt;0,VLOOKUP(B93,Listini!$A$135:$V$138,19,FALSE)*C93*(1+IF(E93="Si",(Listini!$U$170-100)/100,0)+IF(G93="Si",(Listini!$U$172-100)/100,0)),0)</f>
        <v>0</v>
      </c>
      <c r="Q93" s="50">
        <f>IF(B93&lt;&gt;0,(VLOOKUP(B93,Listini!$A$135:$V$138,20,FALSE)*C93+IF(D93&lt;&gt;0,VLOOKUP(CONCATENATE(B93,"-BR"),Listini!$A$164:$V$167,20,FALSE)*D93,0))*(1+IF(E93="Si",(Listini!$V$170-100)/100,0)+IF(F93="Si",(Listini!$V$171-100)/100,0)+IF(G93="Si",(Listini!$V$172-100)/100,0)),0)</f>
        <v>0</v>
      </c>
      <c r="R93" s="50">
        <f>IF(B93&lt;&gt;0,VLOOKUP(B93,'Listino Offerta'!$A$135:$V$138,3,FALSE)*C93*(1+IF(E93="Si",('Listino Offerta'!$E$170-100)/100,0)+IF(G93="Si",('Listino Offerta'!$E$172-100)/100,0)),0)</f>
        <v>0</v>
      </c>
      <c r="S93" s="50">
        <f>IF(B93&lt;&gt;0,(VLOOKUP(B93,'Listino Offerta'!$A$135:$AD$138,4,FALSE)*C93+IF(D93&lt;&gt;0,VLOOKUP(CONCATENATE(B93,"-BR"),'Listino Offerta'!$A$164:$V$167,4,FALSE)*D93,0))*(1+IF(E93="Si",('Listino Offerta'!$F$170-100)/100,0)+IF(F93="Si",('Listino Offerta'!$F$171-100)/100,0)+IF(G93="Si",('Listino Offerta'!$F$172-100)/100,0)),0)</f>
        <v>0</v>
      </c>
    </row>
    <row r="94" spans="1:19" s="244" customFormat="1" ht="12.75" customHeight="1">
      <c r="A94" s="245">
        <v>20</v>
      </c>
      <c r="B94" s="245">
        <f>'Servizi Com. Evoluta - VoIP'!D43</f>
        <v>0</v>
      </c>
      <c r="C94" s="244">
        <f>'Servizi Com. Evoluta - VoIP'!E43</f>
        <v>0</v>
      </c>
      <c r="D94" s="245">
        <f>'Servizi Com. Evoluta - VoIP'!F43</f>
        <v>0</v>
      </c>
      <c r="E94" s="242" t="str">
        <f>IF(AND('Servizi Com. Evoluta - VoIP'!G43="Si",'Servizi Com. Evoluta - VoIP'!H43&lt;&gt;"Si"),"Si","")</f>
        <v/>
      </c>
      <c r="F94" s="242" t="str">
        <f>IF(AND('Servizi Com. Evoluta - VoIP'!G43&lt;&gt;"Si",'Servizi Com. Evoluta - VoIP'!H43="Si"),"Si","")</f>
        <v/>
      </c>
      <c r="G94" s="242" t="str">
        <f>IF(AND('Servizi Com. Evoluta - VoIP'!G43="Si",'Servizi Com. Evoluta - VoIP'!H43="Si"),"Si","")</f>
        <v/>
      </c>
      <c r="H94" s="50">
        <f>IF(B94&lt;&gt;0,VLOOKUP(B94,Listini!$A$135:$V$138,3,FALSE)*C94*(1+IF(E94="Si",(Listini!$E$170-100)/100,0)+IF(G94="Si",(Listini!$E$172-100)/100,0)),0)</f>
        <v>0</v>
      </c>
      <c r="I94" s="50">
        <f>IF(B94&lt;&gt;0,(VLOOKUP(B94,Listini!$A$135:$V$138,4,FALSE)*C94+IF(D94&lt;&gt;0,VLOOKUP(CONCATENATE(B94,"-BR"),Listini!$A$164:$V$167,4,FALSE)*D94,0))*(1+IF(E94="Si",(Listini!$F$170-100)/100,0)+IF(F94="Si",(Listini!$F$171-100)/100,0)+IF(G94="Si",(Listini!$F$172-100)/100,0)),0)</f>
        <v>0</v>
      </c>
      <c r="J94" s="50">
        <f>IF(B94&lt;&gt;0,VLOOKUP(B94,Listini!$A$135:$V$138,7,FALSE)*C94*(1+IF(E94="Si",(Listini!$I$170-100)/100,0)+IF(G94="Si",(Listini!$I$172-100)/100,0)),0)</f>
        <v>0</v>
      </c>
      <c r="K94" s="50">
        <f>IF(B94&lt;&gt;0,(VLOOKUP(B94,Listini!$A$135:$V$138,8,FALSE)*C94+IF(D94&lt;&gt;0,VLOOKUP(CONCATENATE(B94,"-BR"),Listini!$A$164:$V$167,8,FALSE)*D94,0))*(1+IF(E94="Si",(Listini!$J$170-100)/100,0)+IF(F94="Si",(Listini!$J$171-100)/100,0)+IF(G94="Si",(Listini!$J$172-100)/100,0)),0)</f>
        <v>0</v>
      </c>
      <c r="L94" s="50">
        <f>IF(B94&lt;&gt;0,VLOOKUP(B94,Listini!$A$135:$V$138,11,FALSE)*C94*(1+IF(E94="Si",(Listini!$M$170-100)/100,0)+IF(G94="Si",(Listini!$M$172-100)/100,0)),0)</f>
        <v>0</v>
      </c>
      <c r="M94" s="50">
        <f>IF(B94&lt;&gt;0,(VLOOKUP(B94,Listini!$A$135:$V$138,12,FALSE)*C94+IF(D94&lt;&gt;0,VLOOKUP(CONCATENATE(B94,"-BR"),Listini!$A$164:$V$167,12,FALSE)*D94,0))*(1+IF(E94="Si",(Listini!$N$170-100)/100,0)+IF(F94="Si",(Listini!$N$171-100)/100,0)+IF(G94="Si",(Listini!$N$172-100)/100,0)),0)</f>
        <v>0</v>
      </c>
      <c r="N94" s="50">
        <f>IF(B94&lt;&gt;0,VLOOKUP(B94,Listini!$A$135:$V$138,15,FALSE)*C94*(1+IF(E94="Si",(Listini!$Q$170-100)/100,0)+IF(G94="Si",(Listini!$Q$172-100)/100,0)),0)</f>
        <v>0</v>
      </c>
      <c r="O94" s="50">
        <f>IF(B94&lt;&gt;0,(VLOOKUP(B94,Listini!$A$135:$V$138,16,FALSE)*C94+IF(D94&lt;&gt;0,VLOOKUP(CONCATENATE(B94,"-BR"),Listini!$A$164:$V$167,16,FALSE)*D94,0))*(1+IF(E94="Si",(Listini!$R$170-100)/100,0)+IF(F94="Si",(Listini!$R$171-100)/100,0)+IF(G94="Si",(Listini!$R$172-100)/100,0)),0)</f>
        <v>0</v>
      </c>
      <c r="P94" s="50">
        <f>IF(B94&lt;&gt;0,VLOOKUP(B94,Listini!$A$135:$V$138,19,FALSE)*C94*(1+IF(E94="Si",(Listini!$U$170-100)/100,0)+IF(G94="Si",(Listini!$U$172-100)/100,0)),0)</f>
        <v>0</v>
      </c>
      <c r="Q94" s="50">
        <f>IF(B94&lt;&gt;0,(VLOOKUP(B94,Listini!$A$135:$V$138,20,FALSE)*C94+IF(D94&lt;&gt;0,VLOOKUP(CONCATENATE(B94,"-BR"),Listini!$A$164:$V$167,20,FALSE)*D94,0))*(1+IF(E94="Si",(Listini!$V$170-100)/100,0)+IF(F94="Si",(Listini!$V$171-100)/100,0)+IF(G94="Si",(Listini!$V$172-100)/100,0)),0)</f>
        <v>0</v>
      </c>
      <c r="R94" s="50">
        <f>IF(B94&lt;&gt;0,VLOOKUP(B94,'Listino Offerta'!$A$135:$V$138,3,FALSE)*C94*(1+IF(E94="Si",('Listino Offerta'!$E$170-100)/100,0)+IF(G94="Si",('Listino Offerta'!$E$172-100)/100,0)),0)</f>
        <v>0</v>
      </c>
      <c r="S94" s="50">
        <f>IF(B94&lt;&gt;0,(VLOOKUP(B94,'Listino Offerta'!$A$135:$AD$138,4,FALSE)*C94+IF(D94&lt;&gt;0,VLOOKUP(CONCATENATE(B94,"-BR"),'Listino Offerta'!$A$164:$V$167,4,FALSE)*D94,0))*(1+IF(E94="Si",('Listino Offerta'!$F$170-100)/100,0)+IF(F94="Si",('Listino Offerta'!$F$171-100)/100,0)+IF(G94="Si",('Listino Offerta'!$F$172-100)/100,0)),0)</f>
        <v>0</v>
      </c>
    </row>
    <row r="96" spans="1:19">
      <c r="A96" s="412" t="s">
        <v>223</v>
      </c>
      <c r="B96" s="413"/>
      <c r="C96" s="413"/>
      <c r="D96" s="413"/>
      <c r="E96" s="413"/>
      <c r="F96" s="413"/>
      <c r="G96" s="416"/>
      <c r="H96" s="408" t="s">
        <v>455</v>
      </c>
      <c r="I96" s="408"/>
      <c r="J96" s="410" t="s">
        <v>456</v>
      </c>
      <c r="K96" s="408"/>
      <c r="L96" s="410" t="s">
        <v>510</v>
      </c>
      <c r="M96" s="408"/>
      <c r="N96" s="410" t="s">
        <v>457</v>
      </c>
      <c r="O96" s="408"/>
      <c r="P96" s="410" t="s">
        <v>511</v>
      </c>
      <c r="Q96" s="408"/>
      <c r="R96" s="408" t="s">
        <v>470</v>
      </c>
      <c r="S96" s="408"/>
    </row>
    <row r="97" spans="1:19" s="247" customFormat="1" ht="63.75">
      <c r="A97" s="239" t="s">
        <v>213</v>
      </c>
      <c r="B97" s="247" t="s">
        <v>453</v>
      </c>
      <c r="C97" s="275" t="s">
        <v>585</v>
      </c>
      <c r="D97" s="247" t="s">
        <v>222</v>
      </c>
      <c r="E97" s="247" t="s">
        <v>77</v>
      </c>
      <c r="F97" s="247" t="s">
        <v>22</v>
      </c>
      <c r="G97" s="239" t="s">
        <v>447</v>
      </c>
      <c r="H97" s="240" t="s">
        <v>25</v>
      </c>
      <c r="I97" s="240" t="s">
        <v>454</v>
      </c>
      <c r="J97" s="240" t="s">
        <v>25</v>
      </c>
      <c r="K97" s="240" t="s">
        <v>454</v>
      </c>
      <c r="L97" s="240" t="s">
        <v>25</v>
      </c>
      <c r="M97" s="240" t="s">
        <v>454</v>
      </c>
      <c r="N97" s="240" t="s">
        <v>25</v>
      </c>
      <c r="O97" s="240" t="s">
        <v>454</v>
      </c>
      <c r="P97" s="240" t="s">
        <v>25</v>
      </c>
      <c r="Q97" s="240" t="s">
        <v>454</v>
      </c>
      <c r="R97" s="240" t="s">
        <v>25</v>
      </c>
      <c r="S97" s="240" t="s">
        <v>454</v>
      </c>
    </row>
    <row r="98" spans="1:19">
      <c r="A98" s="245">
        <f>'Servizi Com. Evoluta-Telepres.'!B6</f>
        <v>0</v>
      </c>
      <c r="B98" s="245">
        <f>IF(A98="ITEP-2 (Managed)",0,'Servizi Com. Evoluta-Telepres.'!C6)</f>
        <v>0</v>
      </c>
      <c r="C98" s="245">
        <f>'Servizi Com. Evoluta-Telepres.'!$D$6</f>
        <v>0</v>
      </c>
      <c r="D98" s="245">
        <f>'Servizi Com. Evoluta-Telepres.'!E6</f>
        <v>0</v>
      </c>
      <c r="E98" s="238" t="str">
        <f>IF(AND('Servizi Com. Evoluta-Telepres.'!$F$6="Si",'Servizi Com. Evoluta-Telepres.'!$G$6&lt;&gt;"Si"),"Si","")</f>
        <v/>
      </c>
      <c r="F98" s="238" t="str">
        <f>IF(AND('Servizi Com. Evoluta-Telepres.'!$F$6&lt;&gt;"Si",'Servizi Com. Evoluta-Telepres.'!$G$6="Si"),"Si","")</f>
        <v/>
      </c>
      <c r="G98" s="238" t="str">
        <f>IF(AND('Servizi Com. Evoluta-Telepres.'!$F$6="Si",'Servizi Com. Evoluta-Telepres.'!$G$6="Si"),"Si","")</f>
        <v/>
      </c>
      <c r="H98" s="50">
        <f>IF(A98="ITEP-2 (Managed)",Listini!C150*(1+IF(E98="Si",(Listini!E170-100)/100,0)+IF(G98="Si",(Listini!$E$172-100)/100,0)),IF(OR(A98="ITEP-1HD",A98="ITEP-1SD"),VLOOKUP(A98,Listini!$A$148:$V$149,3,FALSE)*B98+Listini!$C$168*'Riepilogo Fabbisogni'!D98,0))</f>
        <v>0</v>
      </c>
      <c r="I98" s="50">
        <f>IF(A98="ITEP-2 (Managed)",(Listini!D150+IF(C98="Si",Listini!D169,0))*(1+IF(E98="Si",(Listini!F170-100)/100,0)+IF(F98="Si",(Listini!F171-100)/100,0)+IF(G98="Si",(Listini!$F$172-100)/100,0)),0)</f>
        <v>0</v>
      </c>
      <c r="J98" s="50">
        <f>IF(A98="ITEP-2 (Managed)",Listini!G150*(1+IF(E98="Si",(Listini!I170-100)/100,0)+IF(G98="Si",(Listini!$I$172-100)/100,0)),IF(OR(A98="ITEP-1HD",A98="ITEP-1SD"),VLOOKUP(A98,Listini!$A$148:$V$149,7,FALSE)*B98+Listini!$G$168*'Riepilogo Fabbisogni'!D98,0))</f>
        <v>0</v>
      </c>
      <c r="K98" s="50">
        <f>IF(A98="ITEP-2 (Managed)",(Listini!H150+IF(C98="Si",Listini!H169,0))*(1+IF(E98="Si",(Listini!J170-100)/100,0)+IF(F98="Si",(Listini!J171-100)/100,0)+IF(G98="Si",(Listini!$J$172-100)/100,0)),0)</f>
        <v>0</v>
      </c>
      <c r="L98" s="50">
        <f>IF(A98="ITEP-2 (Managed)",Listini!K150*(1+IF(E98="Si",(Listini!M170-100)/100,0)+IF(G98="Si",(Listini!$M$172-100)/100,0)),IF(OR(A98="ITEP-1HD",A98="ITEP-1SD"),VLOOKUP(A98,Listini!$A$148:$V$149,11,FALSE)*B98+Listini!$K$168*'Riepilogo Fabbisogni'!D98,0))</f>
        <v>0</v>
      </c>
      <c r="M98" s="50">
        <f>IF(A98="ITEP-2 (Managed)",(Listini!L150+IF(C98="Si",Listini!L169,0))*(1+IF(E98="Si",(Listini!N170-100)/100,0)+IF(F98="Si",(Listini!N171-100)/100,0)+IF(G98="Si",(Listini!$N$172-100)/100,0)),0)</f>
        <v>0</v>
      </c>
      <c r="N98" s="50">
        <f>IF(A98="ITEP-2 (Managed)",Listini!O150*(1+IF(E98="Si",(Listini!Q170-100)/100,0)+IF(G98="Si",(Listini!$Q$172-100)/100,0)),IF(OR(A98="ITEP-1HD",A98="ITEP-1SD"),VLOOKUP(A98,Listini!$A$148:$AD$149,15,FALSE)*B98+Listini!$O$168*'Riepilogo Fabbisogni'!D98,0))</f>
        <v>0</v>
      </c>
      <c r="O98" s="50">
        <f>IF(A98="ITEP-2 (Managed)",(Listini!P150+IF(C98="Si",Listini!P169,0))*(1+IF(E98="Si",(Listini!R170-100)/100,0)+IF(F98="Si",(Listini!R171-100)/100,0)+IF(G98="Si",(Listini!$R$172-100)/100,0)),0)</f>
        <v>0</v>
      </c>
      <c r="P98" s="50">
        <f>IF(A98="ITEP-2 (Managed)",Listini!S150*(1+IF(E98="Si",(Listini!U170-100)/100,0)+IF(G98="Si",(Listini!$U$172-100)/100,0)),IF(OR(A98="ITEP-1HD",A98="ITEP-1SD"),VLOOKUP(A98,Listini!$A$148:$V$149,19,FALSE)*B98+Listini!$S$168*'Riepilogo Fabbisogni'!D98,0))</f>
        <v>0</v>
      </c>
      <c r="Q98" s="50">
        <f>IF(A98="ITEP-2 (Managed)",(Listini!T150+IF(C98="Si",Listini!T169,0))*(1+IF(E98="Si",(Listini!V170-100)/100,0)+IF(F98="Si",(Listini!V171-100)/100,0)+IF(G98="Si",(Listini!$V$172-100)/100,0)),0)</f>
        <v>0</v>
      </c>
      <c r="R98" s="245">
        <f>IF(A98="ITEP-2 (Managed)",'Listino Offerta'!C150*(1+IF(E98="Si",('Listino Offerta'!E170-100)/100,0)+IF(G98="Si",('Listino Offerta'!$E$172-100)/100,0)),IF(OR(A98="ITEP-1HD",A98="ITEP-1SD"),VLOOKUP(A98,'Listino Offerta'!$A$148:$V$149,3,FALSE)*B98+'Listino Offerta'!$C$168*'Riepilogo Fabbisogni'!D98,0))</f>
        <v>0</v>
      </c>
      <c r="S98" s="245">
        <f>IF(A98="ITEP-2 (Managed)",('Listino Offerta'!D150+IF(C98="Si",'Listino Offerta'!D169,0))*(1+IF(E98="Si",('Listino Offerta'!F170-100)/100,0)+IF(F98="Si",('Listino Offerta'!F171-100)/100,0)+IF(G98="Si",('Listino Offerta'!$F$172-100)/100,0)),0)</f>
        <v>0</v>
      </c>
    </row>
    <row r="100" spans="1:19" ht="37.5" customHeight="1">
      <c r="A100" s="417" t="s">
        <v>224</v>
      </c>
      <c r="B100" s="418"/>
      <c r="C100" s="249"/>
      <c r="D100" s="408" t="s">
        <v>455</v>
      </c>
      <c r="E100" s="408"/>
      <c r="F100" s="410" t="s">
        <v>456</v>
      </c>
      <c r="G100" s="408"/>
      <c r="H100" s="410" t="s">
        <v>510</v>
      </c>
      <c r="I100" s="408"/>
      <c r="J100" s="410" t="s">
        <v>457</v>
      </c>
      <c r="K100" s="408"/>
      <c r="L100" s="410" t="s">
        <v>511</v>
      </c>
      <c r="M100" s="408"/>
      <c r="N100" s="408" t="s">
        <v>470</v>
      </c>
      <c r="O100" s="408"/>
    </row>
    <row r="101" spans="1:19" s="247" customFormat="1" ht="51">
      <c r="A101" s="239" t="s">
        <v>213</v>
      </c>
      <c r="B101" s="247" t="s">
        <v>221</v>
      </c>
      <c r="C101" s="247" t="s">
        <v>22</v>
      </c>
      <c r="D101" s="240" t="s">
        <v>25</v>
      </c>
      <c r="E101" s="240" t="s">
        <v>454</v>
      </c>
      <c r="F101" s="240" t="s">
        <v>25</v>
      </c>
      <c r="G101" s="240" t="s">
        <v>454</v>
      </c>
      <c r="H101" s="240" t="s">
        <v>25</v>
      </c>
      <c r="I101" s="240" t="s">
        <v>454</v>
      </c>
      <c r="J101" s="240" t="s">
        <v>25</v>
      </c>
      <c r="K101" s="240" t="s">
        <v>454</v>
      </c>
      <c r="L101" s="240" t="s">
        <v>25</v>
      </c>
      <c r="M101" s="240" t="s">
        <v>454</v>
      </c>
      <c r="N101" s="240" t="s">
        <v>25</v>
      </c>
      <c r="O101" s="240" t="s">
        <v>454</v>
      </c>
    </row>
    <row r="102" spans="1:19">
      <c r="A102" s="239" t="str">
        <f>'Servizi Com. Evoluta-Telepres.'!B13</f>
        <v>ETEP-1</v>
      </c>
      <c r="B102" s="239">
        <f>'Servizi Com. Evoluta-Telepres.'!C13</f>
        <v>0</v>
      </c>
      <c r="C102" s="239">
        <f>'Servizi Com. Evoluta-Telepres.'!D13</f>
        <v>0</v>
      </c>
      <c r="D102" s="245">
        <f>Listini!C151*'Riepilogo Fabbisogni'!B102</f>
        <v>0</v>
      </c>
      <c r="E102" s="245">
        <f>Listini!D151*'Riepilogo Fabbisogni'!B102*(1+IF(C102="Si",(Listini!$F$171-100)/100,0))</f>
        <v>0</v>
      </c>
      <c r="F102" s="245">
        <f>Listini!G151*'Riepilogo Fabbisogni'!B102</f>
        <v>0</v>
      </c>
      <c r="G102" s="245">
        <f>Listini!H151*'Riepilogo Fabbisogni'!B102*(1+IF(C102="Si",(Listini!$J$171-100)/100,0))</f>
        <v>0</v>
      </c>
      <c r="H102" s="245">
        <f>Listini!K151*'Riepilogo Fabbisogni'!B102</f>
        <v>0</v>
      </c>
      <c r="I102" s="245">
        <f>Listini!L151*'Riepilogo Fabbisogni'!B102*(1+IF(C102="Si",(Listini!$N$171-100)/100,0))</f>
        <v>0</v>
      </c>
      <c r="J102" s="245">
        <f>Listini!O151*'Riepilogo Fabbisogni'!B102</f>
        <v>0</v>
      </c>
      <c r="K102" s="245">
        <f>Listini!P151*'Riepilogo Fabbisogni'!B102*(1+IF(C102="Si",(Listini!$R$171-100)/100,0))</f>
        <v>0</v>
      </c>
      <c r="L102" s="245">
        <f>Listini!S151*'Riepilogo Fabbisogni'!B102</f>
        <v>0</v>
      </c>
      <c r="M102" s="245">
        <f>Listini!T151*'Riepilogo Fabbisogni'!B102*(1+IF(C102="Si",(Listini!$V$171-100)/100,0))</f>
        <v>0</v>
      </c>
      <c r="N102" s="245">
        <f>'Listino Offerta'!C151*'Riepilogo Fabbisogni'!B102</f>
        <v>0</v>
      </c>
      <c r="O102" s="245">
        <f>'Listino Offerta'!D151*'Riepilogo Fabbisogni'!B102*(1+IF(C102="Si",('Listino Offerta'!$F$171-100)/100,0))</f>
        <v>0</v>
      </c>
    </row>
    <row r="103" spans="1:19">
      <c r="A103" s="239" t="str">
        <f>'Servizi Com. Evoluta-Telepres.'!B14</f>
        <v>ETEP-2</v>
      </c>
      <c r="B103" s="239">
        <f>'Servizi Com. Evoluta-Telepres.'!C14</f>
        <v>0</v>
      </c>
      <c r="C103" s="239">
        <f>'Servizi Com. Evoluta-Telepres.'!D14</f>
        <v>0</v>
      </c>
      <c r="D103" s="245">
        <f>Listini!C152*'Riepilogo Fabbisogni'!B103</f>
        <v>0</v>
      </c>
      <c r="E103" s="245">
        <f>Listini!D152*'Riepilogo Fabbisogni'!B103*(1+IF(C103="Si",(Listini!$F$171-100)/100,0))</f>
        <v>0</v>
      </c>
      <c r="F103" s="245">
        <f>Listini!G152*'Riepilogo Fabbisogni'!B103</f>
        <v>0</v>
      </c>
      <c r="G103" s="245">
        <f>Listini!H152*'Riepilogo Fabbisogni'!B103*(1+IF(C103="Si",(Listini!$J$171-100)/100,0))</f>
        <v>0</v>
      </c>
      <c r="H103" s="245">
        <f>Listini!K152*'Riepilogo Fabbisogni'!B103</f>
        <v>0</v>
      </c>
      <c r="I103" s="245">
        <f>Listini!L152*'Riepilogo Fabbisogni'!B103*(1+IF(C103="Si",(Listini!$N$171-100)/100,0))</f>
        <v>0</v>
      </c>
      <c r="J103" s="245">
        <f>Listini!O152*'Riepilogo Fabbisogni'!B103</f>
        <v>0</v>
      </c>
      <c r="K103" s="245">
        <f>Listini!P152*'Riepilogo Fabbisogni'!B103*(1+IF(C103="Si",(Listini!$R$171-100)/100,0))</f>
        <v>0</v>
      </c>
      <c r="L103" s="245">
        <f>Listini!S152*'Riepilogo Fabbisogni'!B103</f>
        <v>0</v>
      </c>
      <c r="M103" s="245">
        <f>Listini!T152*'Riepilogo Fabbisogni'!B103*(1+IF(C103="Si",(Listini!$V$171-100)/100,0))</f>
        <v>0</v>
      </c>
      <c r="N103" s="245">
        <f>'Listino Offerta'!C152*'Riepilogo Fabbisogni'!B103</f>
        <v>0</v>
      </c>
      <c r="O103" s="245">
        <f>'Listino Offerta'!D152*'Riepilogo Fabbisogni'!B103*(1+IF(C103="Si",('Listino Offerta'!$F$171-100)/100,0))</f>
        <v>0</v>
      </c>
    </row>
    <row r="104" spans="1:19">
      <c r="A104" s="239" t="str">
        <f>'Servizi Com. Evoluta-Telepres.'!B15</f>
        <v>ETEP-3</v>
      </c>
      <c r="B104" s="239">
        <f>'Servizi Com. Evoluta-Telepres.'!C15</f>
        <v>0</v>
      </c>
      <c r="C104" s="239">
        <f>'Servizi Com. Evoluta-Telepres.'!D15</f>
        <v>0</v>
      </c>
      <c r="D104" s="245">
        <f>Listini!C153*'Riepilogo Fabbisogni'!B104</f>
        <v>0</v>
      </c>
      <c r="E104" s="245">
        <f>Listini!D153*'Riepilogo Fabbisogni'!B104*(1+IF(C104="Si",(Listini!$F$171-100)/100,0))</f>
        <v>0</v>
      </c>
      <c r="F104" s="245">
        <f>Listini!G153*'Riepilogo Fabbisogni'!B104</f>
        <v>0</v>
      </c>
      <c r="G104" s="245">
        <f>Listini!H153*'Riepilogo Fabbisogni'!B104*(1+IF(C104="Si",(Listini!$J$171-100)/100,0))</f>
        <v>0</v>
      </c>
      <c r="H104" s="245">
        <f>Listini!K153*'Riepilogo Fabbisogni'!B104</f>
        <v>0</v>
      </c>
      <c r="I104" s="245">
        <f>Listini!L153*'Riepilogo Fabbisogni'!B104*(1+IF(C104="Si",(Listini!$N$171-100)/100,0))</f>
        <v>0</v>
      </c>
      <c r="J104" s="245">
        <f>Listini!O153*'Riepilogo Fabbisogni'!B104</f>
        <v>0</v>
      </c>
      <c r="K104" s="245">
        <f>Listini!P153*'Riepilogo Fabbisogni'!B104*(1+IF(C104="Si",(Listini!$R$171-100)/100,0))</f>
        <v>0</v>
      </c>
      <c r="L104" s="245">
        <f>Listini!S153*'Riepilogo Fabbisogni'!B104</f>
        <v>0</v>
      </c>
      <c r="M104" s="245">
        <f>Listini!T153*'Riepilogo Fabbisogni'!B104*(1+IF(C104="Si",(Listini!$V$171-100)/100,0))</f>
        <v>0</v>
      </c>
      <c r="N104" s="245">
        <f>'Listino Offerta'!C153*'Riepilogo Fabbisogni'!B104</f>
        <v>0</v>
      </c>
      <c r="O104" s="245">
        <f>'Listino Offerta'!D153*'Riepilogo Fabbisogni'!B104*(1+IF(C104="Si",('Listino Offerta'!$F$171-100)/100,0))</f>
        <v>0</v>
      </c>
    </row>
    <row r="105" spans="1:19">
      <c r="A105" s="239" t="str">
        <f>'Servizi Com. Evoluta-Telepres.'!B16</f>
        <v>ETEP-4</v>
      </c>
      <c r="B105" s="239">
        <f>'Servizi Com. Evoluta-Telepres.'!C16</f>
        <v>0</v>
      </c>
      <c r="C105" s="239">
        <f>'Servizi Com. Evoluta-Telepres.'!D16</f>
        <v>0</v>
      </c>
      <c r="D105" s="245">
        <f>Listini!C154*'Riepilogo Fabbisogni'!B105</f>
        <v>0</v>
      </c>
      <c r="E105" s="245">
        <f>Listini!D154*'Riepilogo Fabbisogni'!B105*(1+IF(C105="Si",(Listini!$F$171-100)/100,0))</f>
        <v>0</v>
      </c>
      <c r="F105" s="245">
        <f>Listini!G154*'Riepilogo Fabbisogni'!B105</f>
        <v>0</v>
      </c>
      <c r="G105" s="245">
        <f>Listini!H154*'Riepilogo Fabbisogni'!B105*(1+IF(C105="Si",(Listini!$J$171-100)/100,0))</f>
        <v>0</v>
      </c>
      <c r="H105" s="245">
        <f>Listini!K154*'Riepilogo Fabbisogni'!B105</f>
        <v>0</v>
      </c>
      <c r="I105" s="245">
        <f>Listini!L154*'Riepilogo Fabbisogni'!B105*(1+IF(C105="Si",(Listini!$N$171-100)/100,0))</f>
        <v>0</v>
      </c>
      <c r="J105" s="245">
        <f>Listini!O154*'Riepilogo Fabbisogni'!B105</f>
        <v>0</v>
      </c>
      <c r="K105" s="245">
        <f>Listini!P154*'Riepilogo Fabbisogni'!B105*(1+IF(C105="Si",(Listini!$R$171-100)/100,0))</f>
        <v>0</v>
      </c>
      <c r="L105" s="245">
        <f>Listini!S154*'Riepilogo Fabbisogni'!B105</f>
        <v>0</v>
      </c>
      <c r="M105" s="245">
        <f>Listini!T154*'Riepilogo Fabbisogni'!B105*(1+IF(C105="Si",(Listini!$V$171-100)/100,0))</f>
        <v>0</v>
      </c>
      <c r="N105" s="245">
        <f>'Listino Offerta'!C154*'Riepilogo Fabbisogni'!B105</f>
        <v>0</v>
      </c>
      <c r="O105" s="245">
        <f>'Listino Offerta'!D154*'Riepilogo Fabbisogni'!B105*(1+IF(C105="Si",('Listino Offerta'!$F$171-100)/100,0))</f>
        <v>0</v>
      </c>
    </row>
    <row r="106" spans="1:19">
      <c r="A106" s="239" t="str">
        <f>'Servizi Com. Evoluta-Telepres.'!B17</f>
        <v>ETEP-5</v>
      </c>
      <c r="B106" s="239">
        <f>'Servizi Com. Evoluta-Telepres.'!C17</f>
        <v>0</v>
      </c>
      <c r="C106" s="239">
        <f>'Servizi Com. Evoluta-Telepres.'!D17</f>
        <v>0</v>
      </c>
      <c r="D106" s="245">
        <f>Listini!C155*'Riepilogo Fabbisogni'!B106</f>
        <v>0</v>
      </c>
      <c r="E106" s="245">
        <f>Listini!D155*'Riepilogo Fabbisogni'!B106*(1+IF(C106="Si",(Listini!$F$171-100)/100,0))</f>
        <v>0</v>
      </c>
      <c r="F106" s="245">
        <f>Listini!G155*'Riepilogo Fabbisogni'!B106</f>
        <v>0</v>
      </c>
      <c r="G106" s="245">
        <f>Listini!H155*'Riepilogo Fabbisogni'!B106*(1+IF(C106="Si",(Listini!$J$171-100)/100,0))</f>
        <v>0</v>
      </c>
      <c r="H106" s="245">
        <f>Listini!K155*'Riepilogo Fabbisogni'!B106</f>
        <v>0</v>
      </c>
      <c r="I106" s="245">
        <f>Listini!L155*'Riepilogo Fabbisogni'!B106*(1+IF(C106="Si",(Listini!$N$171-100)/100,0))</f>
        <v>0</v>
      </c>
      <c r="J106" s="245">
        <f>Listini!O155*'Riepilogo Fabbisogni'!B106</f>
        <v>0</v>
      </c>
      <c r="K106" s="245">
        <f>Listini!P155*'Riepilogo Fabbisogni'!B106*(1+IF(C106="Si",(Listini!$R$171-100)/100,0))</f>
        <v>0</v>
      </c>
      <c r="L106" s="245">
        <f>Listini!S155*'Riepilogo Fabbisogni'!B106</f>
        <v>0</v>
      </c>
      <c r="M106" s="245">
        <f>Listini!T155*'Riepilogo Fabbisogni'!B106*(1+IF(C106="Si",(Listini!$V$171-100)/100,0))</f>
        <v>0</v>
      </c>
      <c r="N106" s="245">
        <f>'Listino Offerta'!C155*'Riepilogo Fabbisogni'!B106</f>
        <v>0</v>
      </c>
      <c r="O106" s="245">
        <f>'Listino Offerta'!D155*'Riepilogo Fabbisogni'!B106*(1+IF(C106="Si",('Listino Offerta'!$F$171-100)/100,0))</f>
        <v>0</v>
      </c>
    </row>
    <row r="108" spans="1:19">
      <c r="A108" s="412" t="s">
        <v>225</v>
      </c>
      <c r="B108" s="416"/>
      <c r="C108" s="245" t="s">
        <v>455</v>
      </c>
      <c r="D108" s="245" t="s">
        <v>456</v>
      </c>
      <c r="E108" s="260" t="s">
        <v>510</v>
      </c>
      <c r="F108" s="260" t="s">
        <v>457</v>
      </c>
      <c r="G108" s="260" t="s">
        <v>511</v>
      </c>
      <c r="H108" s="235" t="s">
        <v>470</v>
      </c>
      <c r="I108" s="250"/>
    </row>
    <row r="109" spans="1:19" ht="51">
      <c r="A109" s="239" t="s">
        <v>213</v>
      </c>
      <c r="B109" s="245" t="s">
        <v>221</v>
      </c>
      <c r="C109" s="240" t="s">
        <v>25</v>
      </c>
      <c r="D109" s="240" t="s">
        <v>25</v>
      </c>
      <c r="E109" s="240" t="s">
        <v>25</v>
      </c>
      <c r="F109" s="240" t="s">
        <v>25</v>
      </c>
      <c r="G109" s="240" t="s">
        <v>25</v>
      </c>
      <c r="H109" s="240" t="s">
        <v>25</v>
      </c>
      <c r="I109" s="240"/>
    </row>
    <row r="110" spans="1:19">
      <c r="A110" s="245" t="s">
        <v>154</v>
      </c>
      <c r="B110" s="245">
        <f>'Servizi di Supp. Professionale'!D4</f>
        <v>0</v>
      </c>
      <c r="C110" s="245">
        <f>B110*Listini!C173</f>
        <v>0</v>
      </c>
      <c r="D110" s="245">
        <f>B110*Listini!G173</f>
        <v>0</v>
      </c>
      <c r="E110" s="245">
        <f>B110*Listini!K173</f>
        <v>0</v>
      </c>
      <c r="F110" s="245">
        <f>B110*Listini!O173</f>
        <v>0</v>
      </c>
      <c r="G110" s="245">
        <f>B110*Listini!S173</f>
        <v>0</v>
      </c>
      <c r="H110" s="245">
        <f>B110*'Listino Offerta'!C173</f>
        <v>0</v>
      </c>
    </row>
    <row r="111" spans="1:19">
      <c r="A111" s="245" t="s">
        <v>156</v>
      </c>
      <c r="B111" s="245">
        <f>'Servizi di Supp. Professionale'!D5</f>
        <v>0</v>
      </c>
      <c r="C111" s="245">
        <f>B111*Listini!C174</f>
        <v>0</v>
      </c>
      <c r="D111" s="245">
        <f>B111*Listini!G174</f>
        <v>0</v>
      </c>
      <c r="E111" s="245">
        <f>B111*Listini!K174</f>
        <v>0</v>
      </c>
      <c r="F111" s="245">
        <f>B111*Listini!O174</f>
        <v>0</v>
      </c>
      <c r="G111" s="245">
        <f>B111*Listini!S174</f>
        <v>0</v>
      </c>
      <c r="H111" s="245">
        <f>B111*'Listino Offerta'!C174</f>
        <v>0</v>
      </c>
    </row>
    <row r="112" spans="1:19">
      <c r="A112" s="245" t="s">
        <v>158</v>
      </c>
      <c r="B112" s="245">
        <f>'Servizi di Supp. Professionale'!D6</f>
        <v>0</v>
      </c>
      <c r="C112" s="245">
        <f>B112*Listini!C175</f>
        <v>0</v>
      </c>
      <c r="D112" s="245">
        <f>B112*Listini!G175</f>
        <v>0</v>
      </c>
      <c r="E112" s="245">
        <f>B112*Listini!K175</f>
        <v>0</v>
      </c>
      <c r="F112" s="245">
        <f>B112*Listini!O175</f>
        <v>0</v>
      </c>
      <c r="G112" s="245">
        <f>B112*Listini!S175</f>
        <v>0</v>
      </c>
      <c r="H112" s="245">
        <f>B112*'Listino Offerta'!C175</f>
        <v>0</v>
      </c>
    </row>
    <row r="113" spans="1:8">
      <c r="A113" s="245" t="s">
        <v>160</v>
      </c>
      <c r="B113" s="245">
        <f>'Servizi di Supp. Professionale'!D7</f>
        <v>0</v>
      </c>
      <c r="C113" s="245">
        <f>B113*Listini!C176</f>
        <v>0</v>
      </c>
      <c r="D113" s="245">
        <f>B113*Listini!G176</f>
        <v>0</v>
      </c>
      <c r="E113" s="245">
        <f>B113*Listini!K176</f>
        <v>0</v>
      </c>
      <c r="F113" s="245">
        <f>B113*Listini!O176</f>
        <v>0</v>
      </c>
      <c r="G113" s="245">
        <f>B113*Listini!S176</f>
        <v>0</v>
      </c>
      <c r="H113" s="245">
        <f>B113*'Listino Offerta'!C176</f>
        <v>0</v>
      </c>
    </row>
    <row r="114" spans="1:8">
      <c r="A114" s="245" t="s">
        <v>162</v>
      </c>
      <c r="B114" s="245">
        <f>'Servizi di Supp. Professionale'!D8</f>
        <v>0</v>
      </c>
      <c r="C114" s="245">
        <f>B114*Listini!C177</f>
        <v>0</v>
      </c>
      <c r="D114" s="245">
        <f>B114*Listini!G177</f>
        <v>0</v>
      </c>
      <c r="E114" s="245">
        <f>B114*Listini!K177</f>
        <v>0</v>
      </c>
      <c r="F114" s="245">
        <f>B114*Listini!O177</f>
        <v>0</v>
      </c>
      <c r="G114" s="245">
        <f>B114*Listini!S177</f>
        <v>0</v>
      </c>
      <c r="H114" s="245">
        <f>B114*'Listino Offerta'!C177</f>
        <v>0</v>
      </c>
    </row>
    <row r="115" spans="1:8">
      <c r="A115" s="245" t="s">
        <v>164</v>
      </c>
      <c r="B115" s="245">
        <f>'Servizi di Supp. Professionale'!D9</f>
        <v>0</v>
      </c>
      <c r="C115" s="245">
        <f>B115*Listini!C178</f>
        <v>0</v>
      </c>
      <c r="D115" s="245">
        <f>B115*Listini!G178</f>
        <v>0</v>
      </c>
      <c r="E115" s="245">
        <f>B115*Listini!K178</f>
        <v>0</v>
      </c>
      <c r="F115" s="245">
        <f>B115*Listini!O178</f>
        <v>0</v>
      </c>
      <c r="G115" s="245">
        <f>B115*Listini!S178</f>
        <v>0</v>
      </c>
      <c r="H115" s="245">
        <f>B115*'Listino Offerta'!C178</f>
        <v>0</v>
      </c>
    </row>
    <row r="116" spans="1:8">
      <c r="A116" s="245" t="s">
        <v>166</v>
      </c>
      <c r="B116" s="245">
        <f>'Servizi di Supp. Professionale'!D10</f>
        <v>0</v>
      </c>
      <c r="C116" s="245">
        <f>B116*Listini!C179</f>
        <v>0</v>
      </c>
      <c r="D116" s="245">
        <f>B116*Listini!G179</f>
        <v>0</v>
      </c>
      <c r="E116" s="245">
        <f>B116*Listini!K179</f>
        <v>0</v>
      </c>
      <c r="F116" s="245">
        <f>B116*Listini!O179</f>
        <v>0</v>
      </c>
      <c r="G116" s="245">
        <f>B116*Listini!S179</f>
        <v>0</v>
      </c>
      <c r="H116" s="245">
        <f>B116*'Listino Offerta'!C179</f>
        <v>0</v>
      </c>
    </row>
    <row r="117" spans="1:8">
      <c r="A117" s="245" t="s">
        <v>168</v>
      </c>
      <c r="B117" s="245">
        <f>'Servizi di Supp. Professionale'!D11</f>
        <v>0</v>
      </c>
      <c r="C117" s="245">
        <f>B117*Listini!C180</f>
        <v>0</v>
      </c>
      <c r="D117" s="245">
        <f>B117*Listini!G180</f>
        <v>0</v>
      </c>
      <c r="E117" s="245">
        <f>B117*Listini!K180</f>
        <v>0</v>
      </c>
      <c r="F117" s="245">
        <f>B117*Listini!O180</f>
        <v>0</v>
      </c>
      <c r="G117" s="245">
        <f>B117*Listini!S180</f>
        <v>0</v>
      </c>
      <c r="H117" s="245">
        <f>B117*'Listino Offerta'!C180</f>
        <v>0</v>
      </c>
    </row>
    <row r="118" spans="1:8">
      <c r="A118" s="245" t="s">
        <v>170</v>
      </c>
      <c r="B118" s="245">
        <f>'Servizi di Supp. Professionale'!D12</f>
        <v>0</v>
      </c>
      <c r="C118" s="245">
        <f>B118*Listini!C181</f>
        <v>0</v>
      </c>
      <c r="D118" s="245">
        <f>B118*Listini!G181</f>
        <v>0</v>
      </c>
      <c r="E118" s="245">
        <f>B118*Listini!K181</f>
        <v>0</v>
      </c>
      <c r="F118" s="245">
        <f>B118*Listini!O181</f>
        <v>0</v>
      </c>
      <c r="G118" s="245">
        <f>B118*Listini!S181</f>
        <v>0</v>
      </c>
      <c r="H118" s="245">
        <f>B118*'Listino Offerta'!C181</f>
        <v>0</v>
      </c>
    </row>
    <row r="119" spans="1:8">
      <c r="A119" s="245" t="s">
        <v>172</v>
      </c>
      <c r="B119" s="245">
        <f>'Servizi di Supp. Professionale'!D13</f>
        <v>0</v>
      </c>
      <c r="C119" s="245">
        <f>B119*Listini!C182</f>
        <v>0</v>
      </c>
      <c r="D119" s="245">
        <f>B119*Listini!G182</f>
        <v>0</v>
      </c>
      <c r="E119" s="245">
        <f>B119*Listini!K182</f>
        <v>0</v>
      </c>
      <c r="F119" s="245">
        <f>B119*Listini!O182</f>
        <v>0</v>
      </c>
      <c r="G119" s="245">
        <f>B119*Listini!S182</f>
        <v>0</v>
      </c>
      <c r="H119" s="245">
        <f>B119*'Listino Offerta'!C182</f>
        <v>0</v>
      </c>
    </row>
    <row r="120" spans="1:8">
      <c r="A120" s="245" t="s">
        <v>174</v>
      </c>
      <c r="B120" s="245">
        <f>'Servizi di Supp. Professionale'!D14</f>
        <v>0</v>
      </c>
      <c r="C120" s="245">
        <f>B120*Listini!C183</f>
        <v>0</v>
      </c>
      <c r="D120" s="245">
        <f>B120*Listini!G183</f>
        <v>0</v>
      </c>
      <c r="E120" s="245">
        <f>B120*Listini!K183</f>
        <v>0</v>
      </c>
      <c r="F120" s="245">
        <f>B120*Listini!O183</f>
        <v>0</v>
      </c>
      <c r="G120" s="245">
        <f>B120*Listini!S183</f>
        <v>0</v>
      </c>
      <c r="H120" s="245">
        <f>B120*'Listino Offerta'!C183</f>
        <v>0</v>
      </c>
    </row>
    <row r="121" spans="1:8">
      <c r="A121" s="245" t="s">
        <v>176</v>
      </c>
      <c r="B121" s="245">
        <f>'Servizi di Supp. Professionale'!D15</f>
        <v>0</v>
      </c>
      <c r="C121" s="245">
        <f>B121*Listini!C184</f>
        <v>0</v>
      </c>
      <c r="D121" s="245">
        <f>B121*Listini!G184</f>
        <v>0</v>
      </c>
      <c r="E121" s="245">
        <f>B121*Listini!K184</f>
        <v>0</v>
      </c>
      <c r="F121" s="245">
        <f>B121*Listini!O184</f>
        <v>0</v>
      </c>
      <c r="G121" s="245">
        <f>B121*Listini!S184</f>
        <v>0</v>
      </c>
      <c r="H121" s="245">
        <f>B121*'Listino Offerta'!C184</f>
        <v>0</v>
      </c>
    </row>
    <row r="122" spans="1:8">
      <c r="A122" s="245" t="s">
        <v>178</v>
      </c>
      <c r="B122" s="245">
        <f>'Servizi di Supp. Professionale'!D16</f>
        <v>0</v>
      </c>
      <c r="C122" s="245">
        <f>B122*Listini!C185</f>
        <v>0</v>
      </c>
      <c r="D122" s="245">
        <f>B122*Listini!G185</f>
        <v>0</v>
      </c>
      <c r="E122" s="245">
        <f>B122*Listini!K185</f>
        <v>0</v>
      </c>
      <c r="F122" s="245">
        <f>B122*Listini!O185</f>
        <v>0</v>
      </c>
      <c r="G122" s="245">
        <f>B122*Listini!S185</f>
        <v>0</v>
      </c>
      <c r="H122" s="245">
        <f>B122*'Listino Offerta'!C185</f>
        <v>0</v>
      </c>
    </row>
    <row r="123" spans="1:8">
      <c r="A123" s="245" t="s">
        <v>180</v>
      </c>
      <c r="B123" s="245">
        <f>'Servizi di Supp. Professionale'!D17</f>
        <v>0</v>
      </c>
      <c r="C123" s="245">
        <f>B123*Listini!C186</f>
        <v>0</v>
      </c>
      <c r="D123" s="245">
        <f>B123*Listini!G186</f>
        <v>0</v>
      </c>
      <c r="E123" s="245">
        <f>B123*Listini!K186</f>
        <v>0</v>
      </c>
      <c r="F123" s="245">
        <f>B123*Listini!O186</f>
        <v>0</v>
      </c>
      <c r="G123" s="245">
        <f>B123*Listini!S186</f>
        <v>0</v>
      </c>
      <c r="H123" s="245">
        <f>B123*'Listino Offerta'!C186</f>
        <v>0</v>
      </c>
    </row>
    <row r="124" spans="1:8">
      <c r="A124" s="245" t="s">
        <v>182</v>
      </c>
      <c r="B124" s="245">
        <f>'Servizi di Supp. Professionale'!D18</f>
        <v>0</v>
      </c>
      <c r="C124" s="245">
        <f>B124*Listini!C187</f>
        <v>0</v>
      </c>
      <c r="D124" s="245">
        <f>B124*Listini!G187</f>
        <v>0</v>
      </c>
      <c r="E124" s="245">
        <f>B124*Listini!K187</f>
        <v>0</v>
      </c>
      <c r="F124" s="245">
        <f>B124*Listini!O187</f>
        <v>0</v>
      </c>
      <c r="G124" s="245">
        <f>B124*Listini!S187</f>
        <v>0</v>
      </c>
      <c r="H124" s="245">
        <f>B124*'Listino Offerta'!C187</f>
        <v>0</v>
      </c>
    </row>
    <row r="125" spans="1:8">
      <c r="A125" s="245" t="s">
        <v>184</v>
      </c>
      <c r="B125" s="245">
        <f>'Servizi di Supp. Professionale'!D19</f>
        <v>0</v>
      </c>
      <c r="C125" s="245">
        <f>B125*Listini!C188</f>
        <v>0</v>
      </c>
      <c r="D125" s="245">
        <f>B125*Listini!G188</f>
        <v>0</v>
      </c>
      <c r="E125" s="245">
        <f>B125*Listini!K188</f>
        <v>0</v>
      </c>
      <c r="F125" s="245">
        <f>B125*Listini!O188</f>
        <v>0</v>
      </c>
      <c r="G125" s="245">
        <f>B125*Listini!S188</f>
        <v>0</v>
      </c>
      <c r="H125" s="245">
        <f>B125*'Listino Offerta'!C188</f>
        <v>0</v>
      </c>
    </row>
    <row r="126" spans="1:8">
      <c r="A126" s="245" t="s">
        <v>186</v>
      </c>
      <c r="B126" s="245">
        <f>'Servizi di Supp. Professionale'!D20</f>
        <v>0</v>
      </c>
      <c r="C126" s="245">
        <f>B126*Listini!C189</f>
        <v>0</v>
      </c>
      <c r="D126" s="245">
        <f>B126*Listini!G189</f>
        <v>0</v>
      </c>
      <c r="E126" s="245">
        <f>B126*Listini!K189</f>
        <v>0</v>
      </c>
      <c r="F126" s="245">
        <f>B126*Listini!O189</f>
        <v>0</v>
      </c>
      <c r="G126" s="245">
        <f>B126*Listini!S189</f>
        <v>0</v>
      </c>
      <c r="H126" s="245">
        <f>B126*'Listino Offerta'!C189</f>
        <v>0</v>
      </c>
    </row>
    <row r="127" spans="1:8">
      <c r="A127" s="245" t="s">
        <v>188</v>
      </c>
      <c r="B127" s="245">
        <f>'Servizi di Supp. Professionale'!D21</f>
        <v>0</v>
      </c>
      <c r="C127" s="245">
        <f>B127*Listini!C190</f>
        <v>0</v>
      </c>
      <c r="D127" s="245">
        <f>B127*Listini!G190</f>
        <v>0</v>
      </c>
      <c r="E127" s="245">
        <f>B127*Listini!K190</f>
        <v>0</v>
      </c>
      <c r="F127" s="245">
        <f>B127*Listini!O190</f>
        <v>0</v>
      </c>
      <c r="G127" s="245">
        <f>B127*Listini!S190</f>
        <v>0</v>
      </c>
      <c r="H127" s="245">
        <f>B127*'Listino Offerta'!C190</f>
        <v>0</v>
      </c>
    </row>
    <row r="128" spans="1:8">
      <c r="A128" s="245" t="s">
        <v>190</v>
      </c>
      <c r="B128" s="245">
        <f>'Servizi di Supp. Professionale'!D22</f>
        <v>0</v>
      </c>
      <c r="C128" s="245">
        <f>B128*Listini!C191</f>
        <v>0</v>
      </c>
      <c r="D128" s="245">
        <f>B128*Listini!G191</f>
        <v>0</v>
      </c>
      <c r="E128" s="245">
        <f>B128*Listini!K191</f>
        <v>0</v>
      </c>
      <c r="F128" s="245">
        <f>B128*Listini!O191</f>
        <v>0</v>
      </c>
      <c r="G128" s="245">
        <f>B128*Listini!S191</f>
        <v>0</v>
      </c>
      <c r="H128" s="245">
        <f>B128*'Listino Offerta'!C191</f>
        <v>0</v>
      </c>
    </row>
    <row r="129" spans="1:11">
      <c r="A129" s="245" t="s">
        <v>192</v>
      </c>
      <c r="B129" s="245">
        <f>'Servizi di Supp. Professionale'!D23</f>
        <v>0</v>
      </c>
      <c r="C129" s="245">
        <f>B129*Listini!C192</f>
        <v>0</v>
      </c>
      <c r="D129" s="245">
        <f>B129*Listini!G192</f>
        <v>0</v>
      </c>
      <c r="E129" s="245">
        <f>B129*Listini!K192</f>
        <v>0</v>
      </c>
      <c r="F129" s="245">
        <f>B129*Listini!O192</f>
        <v>0</v>
      </c>
      <c r="G129" s="245">
        <f>B129*Listini!S192</f>
        <v>0</v>
      </c>
      <c r="H129" s="245">
        <f>B129*'Listino Offerta'!C192</f>
        <v>0</v>
      </c>
    </row>
    <row r="130" spans="1:11">
      <c r="A130" s="245" t="s">
        <v>194</v>
      </c>
      <c r="B130" s="245">
        <f>'Servizi di Supp. Professionale'!D24</f>
        <v>0</v>
      </c>
      <c r="C130" s="245">
        <f>B130*Listini!C193</f>
        <v>0</v>
      </c>
      <c r="D130" s="245">
        <f>B130*Listini!G193</f>
        <v>0</v>
      </c>
      <c r="E130" s="245">
        <f>B130*Listini!K193</f>
        <v>0</v>
      </c>
      <c r="F130" s="245">
        <f>B130*Listini!O193</f>
        <v>0</v>
      </c>
      <c r="G130" s="245">
        <f>B130*Listini!S193</f>
        <v>0</v>
      </c>
      <c r="H130" s="245">
        <f>B130*'Listino Offerta'!C193</f>
        <v>0</v>
      </c>
    </row>
    <row r="131" spans="1:11">
      <c r="D131" s="245">
        <f>B131*Listini!G177</f>
        <v>0</v>
      </c>
      <c r="E131" s="245">
        <f>B131*Listini!K177</f>
        <v>0</v>
      </c>
      <c r="F131" s="245">
        <f>B131*Listini!O177</f>
        <v>0</v>
      </c>
      <c r="G131" s="245">
        <f>B131*Listini!S177</f>
        <v>0</v>
      </c>
      <c r="H131" s="245">
        <f>B131*Listini!W177</f>
        <v>0</v>
      </c>
      <c r="I131" s="245">
        <f>B131*Listini!AA177</f>
        <v>0</v>
      </c>
    </row>
    <row r="132" spans="1:11">
      <c r="A132" s="412" t="s">
        <v>226</v>
      </c>
      <c r="B132" s="416"/>
      <c r="C132" s="245" t="s">
        <v>455</v>
      </c>
      <c r="D132" s="245" t="s">
        <v>456</v>
      </c>
      <c r="E132" s="260" t="s">
        <v>510</v>
      </c>
      <c r="F132" s="260" t="s">
        <v>457</v>
      </c>
      <c r="G132" s="260" t="s">
        <v>511</v>
      </c>
      <c r="H132" s="245" t="s">
        <v>470</v>
      </c>
    </row>
    <row r="133" spans="1:11" ht="51">
      <c r="A133" s="239" t="s">
        <v>213</v>
      </c>
      <c r="B133" s="245" t="s">
        <v>221</v>
      </c>
      <c r="C133" s="240" t="s">
        <v>25</v>
      </c>
      <c r="D133" s="240" t="s">
        <v>25</v>
      </c>
      <c r="E133" s="240" t="s">
        <v>25</v>
      </c>
      <c r="F133" s="240" t="s">
        <v>25</v>
      </c>
      <c r="G133" s="240" t="s">
        <v>25</v>
      </c>
      <c r="H133" s="240" t="s">
        <v>25</v>
      </c>
    </row>
    <row r="134" spans="1:11">
      <c r="A134" s="245" t="s">
        <v>196</v>
      </c>
      <c r="B134" s="245">
        <f>'Servizi di Supp. Professionale'!D28</f>
        <v>0</v>
      </c>
      <c r="C134" s="245">
        <f>B134*Listini!C194</f>
        <v>0</v>
      </c>
      <c r="D134" s="245">
        <f>B134*Listini!G194</f>
        <v>0</v>
      </c>
      <c r="E134" s="245">
        <f>B134*Listini!K194</f>
        <v>0</v>
      </c>
      <c r="F134" s="245">
        <f>B134*Listini!O194</f>
        <v>0</v>
      </c>
      <c r="G134" s="245">
        <f>B134*Listini!S194</f>
        <v>0</v>
      </c>
      <c r="H134" s="245">
        <f>B134*'Listino Offerta'!C194</f>
        <v>0</v>
      </c>
    </row>
    <row r="135" spans="1:11">
      <c r="A135" s="245" t="s">
        <v>198</v>
      </c>
      <c r="B135" s="245">
        <f>'Servizi di Supp. Professionale'!D29</f>
        <v>0</v>
      </c>
      <c r="C135" s="245">
        <f>B135*Listini!C195</f>
        <v>0</v>
      </c>
      <c r="D135" s="245">
        <f>B135*Listini!G195</f>
        <v>0</v>
      </c>
      <c r="E135" s="245">
        <f>B135*Listini!K195</f>
        <v>0</v>
      </c>
      <c r="F135" s="245">
        <f>B135*Listini!O195</f>
        <v>0</v>
      </c>
      <c r="G135" s="245">
        <f>B135*Listini!S195</f>
        <v>0</v>
      </c>
      <c r="H135" s="245">
        <f>B135*'Listino Offerta'!C195</f>
        <v>0</v>
      </c>
    </row>
    <row r="136" spans="1:11">
      <c r="A136" s="245" t="s">
        <v>200</v>
      </c>
      <c r="B136" s="245">
        <f>'Servizi di Supp. Professionale'!D30</f>
        <v>0</v>
      </c>
      <c r="C136" s="245">
        <f>B136*Listini!C196</f>
        <v>0</v>
      </c>
      <c r="D136" s="245">
        <f>B136*Listini!G196</f>
        <v>0</v>
      </c>
      <c r="E136" s="245">
        <f>B136*Listini!K196</f>
        <v>0</v>
      </c>
      <c r="F136" s="245">
        <f>B136*Listini!O196</f>
        <v>0</v>
      </c>
      <c r="G136" s="245">
        <f>B136*Listini!S196</f>
        <v>0</v>
      </c>
      <c r="H136" s="245">
        <f>B136*'Listino Offerta'!C196</f>
        <v>0</v>
      </c>
    </row>
    <row r="137" spans="1:11">
      <c r="A137" s="245" t="s">
        <v>202</v>
      </c>
      <c r="B137" s="245">
        <f>'Servizi di Supp. Professionale'!D31</f>
        <v>0</v>
      </c>
      <c r="C137" s="245">
        <f>B137*Listini!C197</f>
        <v>0</v>
      </c>
      <c r="D137" s="245">
        <f>B137*Listini!G197</f>
        <v>0</v>
      </c>
      <c r="E137" s="245">
        <f>B137*Listini!K197</f>
        <v>0</v>
      </c>
      <c r="F137" s="245">
        <f>B137*Listini!O197</f>
        <v>0</v>
      </c>
      <c r="G137" s="245">
        <f>B137*Listini!S197</f>
        <v>0</v>
      </c>
      <c r="H137" s="245">
        <f>B137*'Listino Offerta'!C197</f>
        <v>0</v>
      </c>
    </row>
    <row r="138" spans="1:11">
      <c r="A138" s="245" t="s">
        <v>204</v>
      </c>
      <c r="B138" s="245">
        <f>'Servizi di Supp. Professionale'!D32</f>
        <v>0</v>
      </c>
      <c r="C138" s="245">
        <f>B138*Listini!C198</f>
        <v>0</v>
      </c>
      <c r="D138" s="245">
        <f>B138*Listini!G198</f>
        <v>0</v>
      </c>
      <c r="E138" s="245">
        <f>B138*Listini!K198</f>
        <v>0</v>
      </c>
      <c r="F138" s="245">
        <f>B138*Listini!O198</f>
        <v>0</v>
      </c>
      <c r="G138" s="245">
        <f>B138*Listini!S198</f>
        <v>0</v>
      </c>
      <c r="H138" s="245">
        <f>B138*'Listino Offerta'!C198</f>
        <v>0</v>
      </c>
    </row>
    <row r="143" spans="1:11" s="247" customFormat="1">
      <c r="A143" s="247" t="s">
        <v>460</v>
      </c>
      <c r="B143" s="247" t="s">
        <v>461</v>
      </c>
      <c r="C143" s="247" t="s">
        <v>462</v>
      </c>
      <c r="D143" s="247" t="s">
        <v>463</v>
      </c>
      <c r="E143" s="247" t="s">
        <v>464</v>
      </c>
      <c r="F143" s="247" t="s">
        <v>465</v>
      </c>
      <c r="G143" s="247" t="s">
        <v>466</v>
      </c>
      <c r="H143" s="247" t="s">
        <v>467</v>
      </c>
      <c r="I143" s="247" t="s">
        <v>468</v>
      </c>
      <c r="J143" s="247" t="s">
        <v>469</v>
      </c>
    </row>
    <row r="144" spans="1:11">
      <c r="A144" s="245">
        <f>SUM(B144:F144)+SUM(G144:J144)*'Base d''asta'!$C$2</f>
        <v>158164.9</v>
      </c>
      <c r="B144" s="245">
        <f>SUM($M$3:$M$22)</f>
        <v>2640</v>
      </c>
      <c r="C144" s="245">
        <f>SUM($C$26:$C$27)</f>
        <v>442.9</v>
      </c>
      <c r="D144" s="245">
        <f>SUM($L$31:$L$51)</f>
        <v>7800</v>
      </c>
      <c r="E144" s="245">
        <f>$I$55+$E$59+SUM($D$63:$D$71)+SUM($H$75:$H$94)+$H$98+SUM($D$102:$D$106)</f>
        <v>0</v>
      </c>
      <c r="F144" s="245">
        <f>SUM($C$110:$C$130)+SUM($C$134:$C$138)</f>
        <v>0</v>
      </c>
      <c r="G144" s="245">
        <f>SUM($N$3:$N$22)</f>
        <v>2175.8000000000002</v>
      </c>
      <c r="H144" s="245">
        <f>SUM($D$26:$D$27)</f>
        <v>10.74</v>
      </c>
      <c r="I144" s="245">
        <f>SUM($M$31:$M$51)</f>
        <v>268.15999999999997</v>
      </c>
      <c r="J144" s="245">
        <f>$J$55+$F$59+SUM($E$63:$E$71)+SUM(I$75:$I$94)+$I$98+SUM($E$102:$E$106)</f>
        <v>0</v>
      </c>
      <c r="K144" s="236" t="s">
        <v>455</v>
      </c>
    </row>
    <row r="145" spans="1:11">
      <c r="A145" s="245">
        <f>SUM(B145:F145)+SUM(G145:J145)*'Base d''asta'!$C$2</f>
        <v>194495.96999999997</v>
      </c>
      <c r="B145" s="245">
        <f>SUM($O$3:$O$22)</f>
        <v>1601.52</v>
      </c>
      <c r="C145" s="245">
        <f>SUM($E$26:$E$27)</f>
        <v>20.45</v>
      </c>
      <c r="D145" s="245">
        <f>SUM($N$31:$N$51)</f>
        <v>106</v>
      </c>
      <c r="E145" s="245">
        <f>$K$55+$G$59+SUM($F$63:$F$71)+SUM($J$75:$J$94)+$J$98+SUM($F$102:$F$106)</f>
        <v>0</v>
      </c>
      <c r="F145" s="245">
        <f>SUM($D$110:$D$130)+SUM($D$134:$D$138)</f>
        <v>0</v>
      </c>
      <c r="G145" s="245">
        <f>SUM($P$3:$P$22)</f>
        <v>2664.6</v>
      </c>
      <c r="H145" s="245">
        <f>SUM($F$26:$F$27)</f>
        <v>20.2</v>
      </c>
      <c r="I145" s="245">
        <f>SUM($O$31:$O$51)</f>
        <v>528</v>
      </c>
      <c r="J145" s="245">
        <f>$L$55+$H$59+SUM($G$63:$G$71)+SUM($K$75:$K$94)+$K$98+SUM($G$102:$G$106)</f>
        <v>0</v>
      </c>
      <c r="K145" s="276" t="s">
        <v>456</v>
      </c>
    </row>
    <row r="146" spans="1:11">
      <c r="A146" s="245">
        <f>SUM(B146:F146)+SUM(G146:J146)*'Base d''asta'!$C$2</f>
        <v>143981.59999999998</v>
      </c>
      <c r="B146" s="245">
        <f>SUM($Q$3:$Q$22)</f>
        <v>3049.3999999999996</v>
      </c>
      <c r="C146" s="245">
        <f>SUM($G$26:$G$27)</f>
        <v>67</v>
      </c>
      <c r="D146" s="245">
        <f>SUM($P$31:$P$51)</f>
        <v>500</v>
      </c>
      <c r="E146" s="245">
        <f>$M$55+$I$59+SUM($H$63:$H$71)+SUM($L$75:$L$94)+$L$98+SUM($H$102:$H$106)</f>
        <v>0</v>
      </c>
      <c r="F146" s="245">
        <f>SUM($E$110:$E$130)+SUM($E$134:$E$138)</f>
        <v>0</v>
      </c>
      <c r="G146" s="245">
        <f>SUM($R$3:$R$22)</f>
        <v>1975.6999999999998</v>
      </c>
      <c r="H146" s="245">
        <f>SUM($H$26:$H$27)</f>
        <v>8.86</v>
      </c>
      <c r="I146" s="245">
        <f>SUM($Q$31:$Q$51)</f>
        <v>354.86</v>
      </c>
      <c r="J146" s="245">
        <f>$N$55+$J$59+SUM($I$63:$I$71)+SUM($M$75:$M$94)+$M$98+SUM($I$102:$I$106)</f>
        <v>0</v>
      </c>
      <c r="K146" s="276" t="s">
        <v>510</v>
      </c>
    </row>
    <row r="147" spans="1:11">
      <c r="A147" s="245">
        <f>SUM(B147:F147)+SUM(G147:J147)*'Base d''asta'!$C$2</f>
        <v>157929.52000000002</v>
      </c>
      <c r="B147" s="245">
        <f>SUM($S$3:$S$22)</f>
        <v>4009.8</v>
      </c>
      <c r="C147" s="245">
        <f>SUM($I$26:$I$27)</f>
        <v>38.119999999999997</v>
      </c>
      <c r="D147" s="245">
        <f>SUM($R$31:$R$51)</f>
        <v>1040</v>
      </c>
      <c r="E147" s="245">
        <f>$O$55+$K$59+SUM($J$63:$J$71)+SUM($N$75:$N$94)+$N$98+SUM($J$102:$J$106)</f>
        <v>0</v>
      </c>
      <c r="F147" s="245">
        <f>SUM($F$110:$F$130)+SUM($F$134:$F$138)</f>
        <v>0</v>
      </c>
      <c r="G147" s="245">
        <f>SUM($T$3:$T$22)</f>
        <v>2268.3000000000002</v>
      </c>
      <c r="H147" s="245">
        <f>SUM($J$26:$J$27)</f>
        <v>19.059999999999999</v>
      </c>
      <c r="I147" s="245">
        <f>SUM($S$31:$S$51)</f>
        <v>260</v>
      </c>
      <c r="J147" s="245">
        <f>$P$55+$L$59+SUM($K$63:$K$71)+SUM($O$75:$O$94)+$O$98+SUM($K$102:$K$106)</f>
        <v>0</v>
      </c>
      <c r="K147" s="276" t="s">
        <v>457</v>
      </c>
    </row>
    <row r="148" spans="1:11">
      <c r="A148" s="245">
        <f>SUM(B148:F148)+SUM(G148:J148)*'Base d''asta'!$C$2</f>
        <v>271160</v>
      </c>
      <c r="B148" s="245">
        <f>SUM($U$3:$U$22)</f>
        <v>5700</v>
      </c>
      <c r="C148" s="245">
        <f>SUM($K$26:$K$27)</f>
        <v>0</v>
      </c>
      <c r="D148" s="245">
        <f>SUM($T$31:$T$51)</f>
        <v>200</v>
      </c>
      <c r="E148" s="245">
        <f>$Q$55+$M$59+SUM($L$63:$L$71)+SUM($P$75:$P$94)+$P$98+SUM($L$102:$L$106)</f>
        <v>0</v>
      </c>
      <c r="F148" s="245">
        <f>SUM($G$110:$G$130)+SUM($G$134:$G$138)</f>
        <v>0</v>
      </c>
      <c r="G148" s="245">
        <f>SUM($V$3:$V$22)</f>
        <v>4310</v>
      </c>
      <c r="H148" s="245">
        <f>SUM($L$26:$L$27)</f>
        <v>22</v>
      </c>
      <c r="I148" s="245">
        <f>SUM($U$31:$U$51)</f>
        <v>89</v>
      </c>
      <c r="J148" s="245">
        <f>$R$55+$N$59+SUM($M$63:$M$71)+SUM($Q$75:$Q$94)+$Q$98+SUM($M$102:$M$106)</f>
        <v>0</v>
      </c>
      <c r="K148" s="276" t="s">
        <v>511</v>
      </c>
    </row>
    <row r="150" spans="1:11">
      <c r="K150" s="236"/>
    </row>
    <row r="152" spans="1:11">
      <c r="K152" s="236"/>
    </row>
  </sheetData>
  <sheetProtection sheet="1" objects="1" scenarios="1"/>
  <mergeCells count="64">
    <mergeCell ref="A53:F53"/>
    <mergeCell ref="A96:G96"/>
    <mergeCell ref="M1:N1"/>
    <mergeCell ref="J73:K73"/>
    <mergeCell ref="L73:M73"/>
    <mergeCell ref="N73:O73"/>
    <mergeCell ref="J61:K61"/>
    <mergeCell ref="L61:M61"/>
    <mergeCell ref="N61:O61"/>
    <mergeCell ref="K24:L24"/>
    <mergeCell ref="M57:N57"/>
    <mergeCell ref="O57:P57"/>
    <mergeCell ref="I57:J57"/>
    <mergeCell ref="L29:M29"/>
    <mergeCell ref="N29:O29"/>
    <mergeCell ref="I53:J53"/>
    <mergeCell ref="K53:L53"/>
    <mergeCell ref="K57:L57"/>
    <mergeCell ref="J100:K100"/>
    <mergeCell ref="L100:M100"/>
    <mergeCell ref="H100:I100"/>
    <mergeCell ref="L96:M96"/>
    <mergeCell ref="J96:K96"/>
    <mergeCell ref="M53:N53"/>
    <mergeCell ref="G57:H57"/>
    <mergeCell ref="N96:O96"/>
    <mergeCell ref="N100:O100"/>
    <mergeCell ref="H96:I96"/>
    <mergeCell ref="H73:I73"/>
    <mergeCell ref="H61:I61"/>
    <mergeCell ref="A132:B132"/>
    <mergeCell ref="A57:C57"/>
    <mergeCell ref="A61:C61"/>
    <mergeCell ref="A73:E73"/>
    <mergeCell ref="E57:F57"/>
    <mergeCell ref="D61:E61"/>
    <mergeCell ref="F61:G61"/>
    <mergeCell ref="A100:B100"/>
    <mergeCell ref="A108:B108"/>
    <mergeCell ref="D100:E100"/>
    <mergeCell ref="F100:G100"/>
    <mergeCell ref="A29:K29"/>
    <mergeCell ref="A51:J51"/>
    <mergeCell ref="M24:N24"/>
    <mergeCell ref="E24:F24"/>
    <mergeCell ref="G24:H24"/>
    <mergeCell ref="I24:J24"/>
    <mergeCell ref="C24:D24"/>
    <mergeCell ref="R96:S96"/>
    <mergeCell ref="W1:X1"/>
    <mergeCell ref="V29:W29"/>
    <mergeCell ref="S53:T53"/>
    <mergeCell ref="Q53:R53"/>
    <mergeCell ref="U1:V1"/>
    <mergeCell ref="Q1:R1"/>
    <mergeCell ref="R73:S73"/>
    <mergeCell ref="S1:T1"/>
    <mergeCell ref="P73:Q73"/>
    <mergeCell ref="P96:Q96"/>
    <mergeCell ref="O1:P1"/>
    <mergeCell ref="T29:U29"/>
    <mergeCell ref="R29:S29"/>
    <mergeCell ref="P29:Q29"/>
    <mergeCell ref="O53:P53"/>
  </mergeCells>
  <phoneticPr fontId="21" type="noConversion"/>
  <pageMargins left="0.39374999999999999" right="0.39374999999999999" top="0.39374999999999999" bottom="0.39374999999999999" header="0.31527777777777777" footer="0.51180555555555551"/>
  <pageSetup paperSize="9" scale="64" firstPageNumber="0" fitToHeight="0" orientation="landscape" horizontalDpi="300" verticalDpi="300" r:id="rId1"/>
  <headerFooter alignWithMargins="0">
    <oddHeader>&amp;L&amp;"Arial,Grassetto"&amp;12SERVIZI DI TRASPORTO DATI</oddHeader>
  </headerFooter>
  <colBreaks count="1" manualBreakCount="1">
    <brk id="8" max="1048575" man="1"/>
  </colBreaks>
  <ignoredErrors>
    <ignoredError sqref="B3:B20 C3:C4 G3:L3" unlockedFormula="1"/>
  </ignoredErrors>
</worksheet>
</file>

<file path=xl/worksheets/sheet12.xml><?xml version="1.0" encoding="utf-8"?>
<worksheet xmlns="http://schemas.openxmlformats.org/spreadsheetml/2006/main" xmlns:r="http://schemas.openxmlformats.org/officeDocument/2006/relationships">
  <dimension ref="A1:F198"/>
  <sheetViews>
    <sheetView showGridLines="0" zoomScaleNormal="90" workbookViewId="0">
      <pane xSplit="2" ySplit="2" topLeftCell="C12" activePane="bottomRight" state="frozen"/>
      <selection activeCell="B137" sqref="B137"/>
      <selection pane="topRight" activeCell="B137" sqref="B137"/>
      <selection pane="bottomLeft" activeCell="B137" sqref="B137"/>
      <selection pane="bottomRight" activeCell="B26" sqref="B26"/>
    </sheetView>
  </sheetViews>
  <sheetFormatPr defaultColWidth="9.28515625" defaultRowHeight="14.25" customHeight="1"/>
  <cols>
    <col min="1" max="1" width="15.7109375" style="174" bestFit="1" customWidth="1"/>
    <col min="2" max="2" width="67" style="175" customWidth="1"/>
    <col min="3" max="3" width="12.5703125" style="186" bestFit="1" customWidth="1"/>
    <col min="4" max="4" width="15.28515625" style="187" bestFit="1" customWidth="1"/>
    <col min="5" max="5" width="13.42578125" style="188" bestFit="1" customWidth="1"/>
    <col min="6" max="6" width="15.28515625" style="188" bestFit="1" customWidth="1"/>
    <col min="7" max="16384" width="9.28515625" style="176"/>
  </cols>
  <sheetData>
    <row r="1" spans="1:6" ht="38.25" customHeight="1">
      <c r="C1" s="419" t="s">
        <v>470</v>
      </c>
      <c r="D1" s="420"/>
      <c r="E1" s="420"/>
      <c r="F1" s="421"/>
    </row>
    <row r="2" spans="1:6" ht="38.25" customHeight="1">
      <c r="A2" s="177" t="s">
        <v>213</v>
      </c>
      <c r="B2" s="178" t="s">
        <v>227</v>
      </c>
      <c r="C2" s="179" t="s">
        <v>458</v>
      </c>
      <c r="D2" s="179" t="s">
        <v>459</v>
      </c>
      <c r="E2" s="180" t="s">
        <v>444</v>
      </c>
      <c r="F2" s="180" t="s">
        <v>445</v>
      </c>
    </row>
    <row r="3" spans="1:6" ht="39" customHeight="1">
      <c r="A3" s="62" t="s">
        <v>29</v>
      </c>
      <c r="B3" s="185" t="s">
        <v>228</v>
      </c>
      <c r="C3" s="281"/>
      <c r="D3" s="281"/>
      <c r="E3" s="282"/>
      <c r="F3" s="282"/>
    </row>
    <row r="4" spans="1:6" ht="25.15" customHeight="1">
      <c r="A4" s="62" t="s">
        <v>31</v>
      </c>
      <c r="B4" s="185" t="s">
        <v>229</v>
      </c>
      <c r="C4" s="281"/>
      <c r="D4" s="281"/>
      <c r="E4" s="282"/>
      <c r="F4" s="282"/>
    </row>
    <row r="5" spans="1:6" ht="25.15" customHeight="1">
      <c r="A5" s="62" t="s">
        <v>32</v>
      </c>
      <c r="B5" s="185" t="s">
        <v>230</v>
      </c>
      <c r="C5" s="281"/>
      <c r="D5" s="281"/>
      <c r="E5" s="282"/>
      <c r="F5" s="282"/>
    </row>
    <row r="6" spans="1:6" ht="25.15" customHeight="1">
      <c r="A6" s="62" t="s">
        <v>34</v>
      </c>
      <c r="B6" s="185" t="s">
        <v>231</v>
      </c>
      <c r="C6" s="281"/>
      <c r="D6" s="281"/>
      <c r="E6" s="282"/>
      <c r="F6" s="282"/>
    </row>
    <row r="7" spans="1:6" ht="25.15" customHeight="1">
      <c r="A7" s="62" t="s">
        <v>35</v>
      </c>
      <c r="B7" s="185" t="s">
        <v>232</v>
      </c>
      <c r="C7" s="281"/>
      <c r="D7" s="281"/>
      <c r="E7" s="282"/>
      <c r="F7" s="282"/>
    </row>
    <row r="8" spans="1:6" ht="25.15" customHeight="1">
      <c r="A8" s="62" t="s">
        <v>37</v>
      </c>
      <c r="B8" s="185" t="s">
        <v>233</v>
      </c>
      <c r="C8" s="281"/>
      <c r="D8" s="281"/>
      <c r="E8" s="282"/>
      <c r="F8" s="282"/>
    </row>
    <row r="9" spans="1:6" ht="25.15" customHeight="1">
      <c r="A9" s="62" t="s">
        <v>38</v>
      </c>
      <c r="B9" s="185" t="s">
        <v>234</v>
      </c>
      <c r="C9" s="281"/>
      <c r="D9" s="281"/>
      <c r="E9" s="282"/>
      <c r="F9" s="282"/>
    </row>
    <row r="10" spans="1:6" ht="25.15" customHeight="1">
      <c r="A10" s="62" t="s">
        <v>40</v>
      </c>
      <c r="B10" s="185" t="s">
        <v>235</v>
      </c>
      <c r="C10" s="281"/>
      <c r="D10" s="281"/>
      <c r="E10" s="282"/>
      <c r="F10" s="282"/>
    </row>
    <row r="11" spans="1:6" ht="25.15" customHeight="1">
      <c r="A11" s="262" t="s">
        <v>41</v>
      </c>
      <c r="B11" s="263" t="s">
        <v>236</v>
      </c>
      <c r="C11" s="281"/>
      <c r="D11" s="281"/>
      <c r="E11" s="282"/>
      <c r="F11" s="282"/>
    </row>
    <row r="12" spans="1:6" ht="25.15" customHeight="1">
      <c r="A12" s="262" t="s">
        <v>42</v>
      </c>
      <c r="B12" s="263" t="s">
        <v>237</v>
      </c>
      <c r="C12" s="281"/>
      <c r="D12" s="281"/>
      <c r="E12" s="282"/>
      <c r="F12" s="282"/>
    </row>
    <row r="13" spans="1:6" ht="25.15" customHeight="1">
      <c r="A13" s="262" t="s">
        <v>496</v>
      </c>
      <c r="B13" s="263" t="s">
        <v>513</v>
      </c>
      <c r="C13" s="281"/>
      <c r="D13" s="281"/>
      <c r="E13" s="282"/>
      <c r="F13" s="282"/>
    </row>
    <row r="14" spans="1:6" ht="25.15" customHeight="1">
      <c r="A14" s="262" t="s">
        <v>497</v>
      </c>
      <c r="B14" s="263" t="s">
        <v>514</v>
      </c>
      <c r="C14" s="281"/>
      <c r="D14" s="281"/>
      <c r="E14" s="282"/>
      <c r="F14" s="282"/>
    </row>
    <row r="15" spans="1:6" ht="25.15" customHeight="1">
      <c r="A15" s="262" t="s">
        <v>498</v>
      </c>
      <c r="B15" s="263" t="s">
        <v>515</v>
      </c>
      <c r="C15" s="281"/>
      <c r="D15" s="281"/>
      <c r="E15" s="282"/>
      <c r="F15" s="282"/>
    </row>
    <row r="16" spans="1:6" ht="25.15" customHeight="1">
      <c r="A16" s="62" t="s">
        <v>44</v>
      </c>
      <c r="B16" s="185" t="s">
        <v>238</v>
      </c>
      <c r="C16" s="281"/>
      <c r="D16" s="281"/>
      <c r="E16" s="282"/>
      <c r="F16" s="282"/>
    </row>
    <row r="17" spans="1:6" ht="25.15" customHeight="1">
      <c r="A17" s="62" t="s">
        <v>45</v>
      </c>
      <c r="B17" s="185" t="s">
        <v>239</v>
      </c>
      <c r="C17" s="281"/>
      <c r="D17" s="281"/>
      <c r="E17" s="282"/>
      <c r="F17" s="282"/>
    </row>
    <row r="18" spans="1:6" ht="25.15" customHeight="1">
      <c r="A18" s="62" t="s">
        <v>47</v>
      </c>
      <c r="B18" s="185" t="s">
        <v>240</v>
      </c>
      <c r="C18" s="281"/>
      <c r="D18" s="281"/>
      <c r="E18" s="282"/>
      <c r="F18" s="282"/>
    </row>
    <row r="19" spans="1:6" ht="25.15" customHeight="1">
      <c r="A19" s="62" t="s">
        <v>48</v>
      </c>
      <c r="B19" s="185" t="s">
        <v>241</v>
      </c>
      <c r="C19" s="281"/>
      <c r="D19" s="281"/>
      <c r="E19" s="282"/>
      <c r="F19" s="282"/>
    </row>
    <row r="20" spans="1:6" ht="25.15" customHeight="1">
      <c r="A20" s="62" t="s">
        <v>49</v>
      </c>
      <c r="B20" s="185" t="s">
        <v>242</v>
      </c>
      <c r="C20" s="281"/>
      <c r="D20" s="281"/>
      <c r="E20" s="282"/>
      <c r="F20" s="282"/>
    </row>
    <row r="21" spans="1:6" ht="25.15" customHeight="1">
      <c r="A21" s="62" t="s">
        <v>51</v>
      </c>
      <c r="B21" s="185" t="s">
        <v>243</v>
      </c>
      <c r="C21" s="281"/>
      <c r="D21" s="281"/>
      <c r="E21" s="282"/>
      <c r="F21" s="282"/>
    </row>
    <row r="22" spans="1:6" ht="25.15" customHeight="1">
      <c r="A22" s="62" t="s">
        <v>53</v>
      </c>
      <c r="B22" s="185" t="s">
        <v>244</v>
      </c>
      <c r="C22" s="281"/>
      <c r="D22" s="281"/>
      <c r="E22" s="282"/>
      <c r="F22" s="282"/>
    </row>
    <row r="23" spans="1:6" ht="25.15" customHeight="1">
      <c r="A23" s="62" t="s">
        <v>54</v>
      </c>
      <c r="B23" s="185" t="s">
        <v>245</v>
      </c>
      <c r="C23" s="281"/>
      <c r="D23" s="281"/>
      <c r="E23" s="282"/>
      <c r="F23" s="282"/>
    </row>
    <row r="24" spans="1:6" ht="25.15" customHeight="1">
      <c r="A24" s="62" t="s">
        <v>56</v>
      </c>
      <c r="B24" s="185" t="s">
        <v>246</v>
      </c>
      <c r="C24" s="281"/>
      <c r="D24" s="281"/>
      <c r="E24" s="282"/>
      <c r="F24" s="282"/>
    </row>
    <row r="25" spans="1:6" ht="25.15" customHeight="1">
      <c r="A25" s="62" t="s">
        <v>58</v>
      </c>
      <c r="B25" s="185" t="s">
        <v>247</v>
      </c>
      <c r="C25" s="281"/>
      <c r="D25" s="281"/>
      <c r="E25" s="282"/>
      <c r="F25" s="282"/>
    </row>
    <row r="26" spans="1:6" ht="25.15" customHeight="1">
      <c r="A26" s="62" t="s">
        <v>59</v>
      </c>
      <c r="B26" s="185" t="s">
        <v>248</v>
      </c>
      <c r="C26" s="281"/>
      <c r="D26" s="281"/>
      <c r="E26" s="282"/>
      <c r="F26" s="282"/>
    </row>
    <row r="27" spans="1:6" ht="25.15" customHeight="1">
      <c r="A27" s="62" t="s">
        <v>60</v>
      </c>
      <c r="B27" s="185" t="s">
        <v>249</v>
      </c>
      <c r="C27" s="281"/>
      <c r="D27" s="281"/>
      <c r="E27" s="282"/>
      <c r="F27" s="282"/>
    </row>
    <row r="28" spans="1:6" ht="25.15" customHeight="1">
      <c r="A28" s="62" t="s">
        <v>61</v>
      </c>
      <c r="B28" s="185" t="s">
        <v>250</v>
      </c>
      <c r="C28" s="281"/>
      <c r="D28" s="281"/>
      <c r="E28" s="282"/>
      <c r="F28" s="282"/>
    </row>
    <row r="29" spans="1:6" ht="25.15" customHeight="1">
      <c r="A29" s="62" t="s">
        <v>62</v>
      </c>
      <c r="B29" s="185" t="s">
        <v>251</v>
      </c>
      <c r="C29" s="281"/>
      <c r="D29" s="281"/>
      <c r="E29" s="282"/>
      <c r="F29" s="282"/>
    </row>
    <row r="30" spans="1:6" ht="25.15" customHeight="1">
      <c r="A30" s="62" t="s">
        <v>63</v>
      </c>
      <c r="B30" s="185" t="s">
        <v>252</v>
      </c>
      <c r="C30" s="281"/>
      <c r="D30" s="281"/>
      <c r="E30" s="282"/>
      <c r="F30" s="282"/>
    </row>
    <row r="31" spans="1:6" ht="25.15" customHeight="1">
      <c r="A31" s="62" t="s">
        <v>64</v>
      </c>
      <c r="B31" s="185" t="s">
        <v>253</v>
      </c>
      <c r="C31" s="281"/>
      <c r="D31" s="281"/>
      <c r="E31" s="282"/>
      <c r="F31" s="282"/>
    </row>
    <row r="32" spans="1:6" ht="25.15" customHeight="1">
      <c r="A32" s="62" t="s">
        <v>65</v>
      </c>
      <c r="B32" s="185" t="s">
        <v>254</v>
      </c>
      <c r="C32" s="281"/>
      <c r="D32" s="281"/>
      <c r="E32" s="282"/>
      <c r="F32" s="282"/>
    </row>
    <row r="33" spans="1:6" ht="25.15" customHeight="1">
      <c r="A33" s="62" t="s">
        <v>499</v>
      </c>
      <c r="B33" s="185" t="s">
        <v>516</v>
      </c>
      <c r="C33" s="281"/>
      <c r="D33" s="281"/>
      <c r="E33" s="282"/>
      <c r="F33" s="282"/>
    </row>
    <row r="34" spans="1:6" ht="25.15" customHeight="1">
      <c r="A34" s="62" t="s">
        <v>500</v>
      </c>
      <c r="B34" s="185" t="s">
        <v>517</v>
      </c>
      <c r="C34" s="281"/>
      <c r="D34" s="281"/>
      <c r="E34" s="282"/>
      <c r="F34" s="282"/>
    </row>
    <row r="35" spans="1:6" ht="25.15" customHeight="1">
      <c r="A35" s="62" t="s">
        <v>66</v>
      </c>
      <c r="B35" s="185" t="s">
        <v>255</v>
      </c>
      <c r="C35" s="281"/>
      <c r="D35" s="281"/>
      <c r="E35" s="282"/>
      <c r="F35" s="282"/>
    </row>
    <row r="36" spans="1:6" ht="25.15" customHeight="1">
      <c r="A36" s="62" t="s">
        <v>67</v>
      </c>
      <c r="B36" s="185" t="s">
        <v>256</v>
      </c>
      <c r="C36" s="281"/>
      <c r="D36" s="281"/>
      <c r="E36" s="282"/>
      <c r="F36" s="282"/>
    </row>
    <row r="37" spans="1:6" ht="25.15" customHeight="1">
      <c r="A37" s="62" t="s">
        <v>68</v>
      </c>
      <c r="B37" s="185" t="s">
        <v>257</v>
      </c>
      <c r="C37" s="281"/>
      <c r="D37" s="281"/>
      <c r="E37" s="282"/>
      <c r="F37" s="282"/>
    </row>
    <row r="38" spans="1:6" ht="25.15" customHeight="1">
      <c r="A38" s="62" t="s">
        <v>69</v>
      </c>
      <c r="B38" s="185" t="s">
        <v>258</v>
      </c>
      <c r="C38" s="281"/>
      <c r="D38" s="281"/>
      <c r="E38" s="282"/>
      <c r="F38" s="282"/>
    </row>
    <row r="39" spans="1:6" ht="25.15" customHeight="1">
      <c r="A39" s="62" t="s">
        <v>70</v>
      </c>
      <c r="B39" s="185" t="s">
        <v>259</v>
      </c>
      <c r="C39" s="281"/>
      <c r="D39" s="281"/>
      <c r="E39" s="282"/>
      <c r="F39" s="282"/>
    </row>
    <row r="40" spans="1:6" ht="25.15" customHeight="1">
      <c r="A40" s="62" t="s">
        <v>71</v>
      </c>
      <c r="B40" s="185" t="s">
        <v>260</v>
      </c>
      <c r="C40" s="281"/>
      <c r="D40" s="281"/>
      <c r="E40" s="282"/>
      <c r="F40" s="282"/>
    </row>
    <row r="41" spans="1:6" ht="25.15" customHeight="1">
      <c r="A41" s="62" t="s">
        <v>72</v>
      </c>
      <c r="B41" s="185" t="s">
        <v>261</v>
      </c>
      <c r="C41" s="281"/>
      <c r="D41" s="281"/>
      <c r="E41" s="282"/>
      <c r="F41" s="282"/>
    </row>
    <row r="42" spans="1:6" ht="25.15" customHeight="1">
      <c r="A42" s="62" t="s">
        <v>73</v>
      </c>
      <c r="B42" s="185" t="s">
        <v>262</v>
      </c>
      <c r="C42" s="281"/>
      <c r="D42" s="281"/>
      <c r="E42" s="282"/>
      <c r="F42" s="282"/>
    </row>
    <row r="43" spans="1:6" ht="25.15" customHeight="1">
      <c r="A43" s="62" t="s">
        <v>74</v>
      </c>
      <c r="B43" s="185" t="s">
        <v>263</v>
      </c>
      <c r="C43" s="281"/>
      <c r="D43" s="281"/>
      <c r="E43" s="282"/>
      <c r="F43" s="282"/>
    </row>
    <row r="44" spans="1:6" ht="25.15" customHeight="1">
      <c r="A44" s="62" t="s">
        <v>75</v>
      </c>
      <c r="B44" s="185" t="s">
        <v>264</v>
      </c>
      <c r="C44" s="281"/>
      <c r="D44" s="281"/>
      <c r="E44" s="282"/>
      <c r="F44" s="282"/>
    </row>
    <row r="45" spans="1:6" ht="25.15" customHeight="1">
      <c r="A45" s="126" t="s">
        <v>76</v>
      </c>
      <c r="B45" s="185" t="s">
        <v>265</v>
      </c>
      <c r="C45" s="283"/>
      <c r="D45" s="281"/>
      <c r="E45" s="282"/>
      <c r="F45" s="282"/>
    </row>
    <row r="46" spans="1:6" ht="25.15" customHeight="1">
      <c r="A46" s="126" t="s">
        <v>266</v>
      </c>
      <c r="B46" s="185" t="s">
        <v>267</v>
      </c>
      <c r="C46" s="283"/>
      <c r="D46" s="283"/>
      <c r="E46" s="284"/>
      <c r="F46" s="284"/>
    </row>
    <row r="47" spans="1:6" ht="25.15" customHeight="1">
      <c r="A47" s="126" t="s">
        <v>268</v>
      </c>
      <c r="B47" s="185" t="s">
        <v>269</v>
      </c>
      <c r="C47" s="283"/>
      <c r="D47" s="283"/>
      <c r="E47" s="282"/>
      <c r="F47" s="284"/>
    </row>
    <row r="48" spans="1:6" ht="25.15" customHeight="1">
      <c r="A48" s="126" t="s">
        <v>270</v>
      </c>
      <c r="B48" s="185" t="s">
        <v>271</v>
      </c>
      <c r="C48" s="283"/>
      <c r="D48" s="283"/>
      <c r="E48" s="284"/>
      <c r="F48" s="284"/>
    </row>
    <row r="49" spans="1:6" ht="25.15" customHeight="1">
      <c r="A49" s="264" t="s">
        <v>272</v>
      </c>
      <c r="B49" s="265" t="s">
        <v>273</v>
      </c>
      <c r="C49" s="283"/>
      <c r="D49" s="281"/>
      <c r="E49" s="282"/>
      <c r="F49" s="282"/>
    </row>
    <row r="50" spans="1:6" ht="25.15" customHeight="1">
      <c r="A50" s="264" t="s">
        <v>274</v>
      </c>
      <c r="B50" s="265" t="s">
        <v>275</v>
      </c>
      <c r="C50" s="283"/>
      <c r="D50" s="281"/>
      <c r="E50" s="282"/>
      <c r="F50" s="282"/>
    </row>
    <row r="51" spans="1:6" ht="25.15" customHeight="1">
      <c r="A51" s="264" t="s">
        <v>276</v>
      </c>
      <c r="B51" s="265" t="s">
        <v>277</v>
      </c>
      <c r="C51" s="283"/>
      <c r="D51" s="281"/>
      <c r="E51" s="282"/>
      <c r="F51" s="282"/>
    </row>
    <row r="52" spans="1:6" ht="25.15" customHeight="1">
      <c r="A52" s="264" t="s">
        <v>278</v>
      </c>
      <c r="B52" s="265" t="s">
        <v>279</v>
      </c>
      <c r="C52" s="283"/>
      <c r="D52" s="281"/>
      <c r="E52" s="282"/>
      <c r="F52" s="282"/>
    </row>
    <row r="53" spans="1:6" ht="25.15" customHeight="1">
      <c r="A53" s="264" t="s">
        <v>90</v>
      </c>
      <c r="B53" s="265" t="s">
        <v>280</v>
      </c>
      <c r="C53" s="283"/>
      <c r="D53" s="281"/>
      <c r="E53" s="282"/>
      <c r="F53" s="282"/>
    </row>
    <row r="54" spans="1:6" ht="25.15" customHeight="1">
      <c r="A54" s="126" t="s">
        <v>79</v>
      </c>
      <c r="B54" s="185" t="s">
        <v>281</v>
      </c>
      <c r="C54" s="283"/>
      <c r="D54" s="281"/>
      <c r="E54" s="282"/>
      <c r="F54" s="282"/>
    </row>
    <row r="55" spans="1:6" ht="25.15" customHeight="1">
      <c r="A55" s="126" t="s">
        <v>80</v>
      </c>
      <c r="B55" s="185" t="s">
        <v>282</v>
      </c>
      <c r="C55" s="283"/>
      <c r="D55" s="281"/>
      <c r="E55" s="282"/>
      <c r="F55" s="282"/>
    </row>
    <row r="56" spans="1:6" ht="25.15" customHeight="1">
      <c r="A56" s="126" t="s">
        <v>81</v>
      </c>
      <c r="B56" s="185" t="s">
        <v>283</v>
      </c>
      <c r="C56" s="283"/>
      <c r="D56" s="281"/>
      <c r="E56" s="282"/>
      <c r="F56" s="282"/>
    </row>
    <row r="57" spans="1:6" ht="25.15" customHeight="1">
      <c r="A57" s="126" t="s">
        <v>82</v>
      </c>
      <c r="B57" s="185" t="s">
        <v>284</v>
      </c>
      <c r="C57" s="283"/>
      <c r="D57" s="281"/>
      <c r="E57" s="282"/>
      <c r="F57" s="282"/>
    </row>
    <row r="58" spans="1:6" ht="25.15" customHeight="1">
      <c r="A58" s="126" t="s">
        <v>505</v>
      </c>
      <c r="B58" s="185" t="s">
        <v>518</v>
      </c>
      <c r="C58" s="281"/>
      <c r="D58" s="281"/>
      <c r="E58" s="282"/>
      <c r="F58" s="282"/>
    </row>
    <row r="59" spans="1:6" ht="25.15" customHeight="1">
      <c r="A59" s="126" t="s">
        <v>507</v>
      </c>
      <c r="B59" s="185" t="s">
        <v>519</v>
      </c>
      <c r="C59" s="281"/>
      <c r="D59" s="281"/>
      <c r="E59" s="282"/>
      <c r="F59" s="282"/>
    </row>
    <row r="60" spans="1:6" ht="25.15" customHeight="1">
      <c r="A60" s="126" t="s">
        <v>97</v>
      </c>
      <c r="B60" s="185" t="s">
        <v>520</v>
      </c>
      <c r="C60" s="281"/>
      <c r="D60" s="281"/>
      <c r="E60" s="282"/>
      <c r="F60" s="282"/>
    </row>
    <row r="61" spans="1:6" ht="25.15" customHeight="1">
      <c r="A61" s="126" t="s">
        <v>98</v>
      </c>
      <c r="B61" s="185" t="s">
        <v>521</v>
      </c>
      <c r="C61" s="281"/>
      <c r="D61" s="281"/>
      <c r="E61" s="282"/>
      <c r="F61" s="282"/>
    </row>
    <row r="62" spans="1:6" ht="25.15" customHeight="1">
      <c r="A62" s="126" t="s">
        <v>99</v>
      </c>
      <c r="B62" s="185" t="s">
        <v>522</v>
      </c>
      <c r="C62" s="281"/>
      <c r="D62" s="281"/>
      <c r="E62" s="282"/>
      <c r="F62" s="282"/>
    </row>
    <row r="63" spans="1:6" ht="25.15" customHeight="1">
      <c r="A63" s="126" t="s">
        <v>100</v>
      </c>
      <c r="B63" s="185" t="s">
        <v>523</v>
      </c>
      <c r="C63" s="281"/>
      <c r="D63" s="281"/>
      <c r="E63" s="282"/>
      <c r="F63" s="282"/>
    </row>
    <row r="64" spans="1:6" ht="25.15" customHeight="1">
      <c r="A64" s="126" t="s">
        <v>101</v>
      </c>
      <c r="B64" s="185" t="s">
        <v>524</v>
      </c>
      <c r="C64" s="281"/>
      <c r="D64" s="281"/>
      <c r="E64" s="282"/>
      <c r="F64" s="282"/>
    </row>
    <row r="65" spans="1:6" ht="25.15" customHeight="1">
      <c r="A65" s="126" t="s">
        <v>102</v>
      </c>
      <c r="B65" s="185" t="s">
        <v>525</v>
      </c>
      <c r="C65" s="281"/>
      <c r="D65" s="281"/>
      <c r="E65" s="282"/>
      <c r="F65" s="282"/>
    </row>
    <row r="66" spans="1:6" ht="25.15" customHeight="1">
      <c r="A66" s="126" t="s">
        <v>285</v>
      </c>
      <c r="B66" s="185" t="s">
        <v>526</v>
      </c>
      <c r="C66" s="281"/>
      <c r="D66" s="281"/>
      <c r="E66" s="282"/>
      <c r="F66" s="282"/>
    </row>
    <row r="67" spans="1:6" ht="25.15" customHeight="1">
      <c r="A67" s="126" t="s">
        <v>286</v>
      </c>
      <c r="B67" s="185" t="s">
        <v>527</v>
      </c>
      <c r="C67" s="281"/>
      <c r="D67" s="281"/>
      <c r="E67" s="282"/>
      <c r="F67" s="282"/>
    </row>
    <row r="68" spans="1:6" ht="25.15" customHeight="1">
      <c r="A68" s="126" t="s">
        <v>287</v>
      </c>
      <c r="B68" s="185" t="s">
        <v>528</v>
      </c>
      <c r="C68" s="281"/>
      <c r="D68" s="281"/>
      <c r="E68" s="282"/>
      <c r="F68" s="282"/>
    </row>
    <row r="69" spans="1:6" ht="25.15" customHeight="1">
      <c r="A69" s="126" t="s">
        <v>288</v>
      </c>
      <c r="B69" s="185" t="s">
        <v>529</v>
      </c>
      <c r="C69" s="281"/>
      <c r="D69" s="281"/>
      <c r="E69" s="282"/>
      <c r="F69" s="282"/>
    </row>
    <row r="70" spans="1:6" ht="25.15" customHeight="1">
      <c r="A70" s="126" t="s">
        <v>289</v>
      </c>
      <c r="B70" s="185" t="s">
        <v>530</v>
      </c>
      <c r="C70" s="281"/>
      <c r="D70" s="281"/>
      <c r="E70" s="282"/>
      <c r="F70" s="282"/>
    </row>
    <row r="71" spans="1:6" ht="25.15" customHeight="1">
      <c r="A71" s="126" t="s">
        <v>290</v>
      </c>
      <c r="B71" s="185" t="s">
        <v>531</v>
      </c>
      <c r="C71" s="281"/>
      <c r="D71" s="281"/>
      <c r="E71" s="282"/>
      <c r="F71" s="282"/>
    </row>
    <row r="72" spans="1:6" ht="25.15" customHeight="1">
      <c r="A72" s="126" t="s">
        <v>291</v>
      </c>
      <c r="B72" s="185" t="s">
        <v>532</v>
      </c>
      <c r="C72" s="281"/>
      <c r="D72" s="281"/>
      <c r="E72" s="282"/>
      <c r="F72" s="282"/>
    </row>
    <row r="73" spans="1:6" ht="25.15" customHeight="1">
      <c r="A73" s="126" t="s">
        <v>292</v>
      </c>
      <c r="B73" s="185" t="s">
        <v>533</v>
      </c>
      <c r="C73" s="281"/>
      <c r="D73" s="281"/>
      <c r="E73" s="282"/>
      <c r="F73" s="282"/>
    </row>
    <row r="74" spans="1:6" ht="25.15" customHeight="1">
      <c r="A74" s="126" t="s">
        <v>293</v>
      </c>
      <c r="B74" s="185" t="s">
        <v>534</v>
      </c>
      <c r="C74" s="281"/>
      <c r="D74" s="281"/>
      <c r="E74" s="282"/>
      <c r="F74" s="282"/>
    </row>
    <row r="75" spans="1:6" ht="25.15" customHeight="1">
      <c r="A75" s="126" t="s">
        <v>294</v>
      </c>
      <c r="B75" s="185" t="s">
        <v>535</v>
      </c>
      <c r="C75" s="281"/>
      <c r="D75" s="281"/>
      <c r="E75" s="282"/>
      <c r="F75" s="282"/>
    </row>
    <row r="76" spans="1:6" ht="25.15" customHeight="1">
      <c r="A76" s="126" t="s">
        <v>295</v>
      </c>
      <c r="B76" s="185" t="s">
        <v>536</v>
      </c>
      <c r="C76" s="281"/>
      <c r="D76" s="281"/>
      <c r="E76" s="282"/>
      <c r="F76" s="282"/>
    </row>
    <row r="77" spans="1:6" ht="25.15" customHeight="1">
      <c r="A77" s="126" t="s">
        <v>296</v>
      </c>
      <c r="B77" s="185" t="s">
        <v>537</v>
      </c>
      <c r="C77" s="281"/>
      <c r="D77" s="281"/>
      <c r="E77" s="282"/>
      <c r="F77" s="282"/>
    </row>
    <row r="78" spans="1:6" ht="25.15" customHeight="1">
      <c r="A78" s="126" t="s">
        <v>297</v>
      </c>
      <c r="B78" s="185" t="s">
        <v>538</v>
      </c>
      <c r="C78" s="281"/>
      <c r="D78" s="281"/>
      <c r="E78" s="282"/>
      <c r="F78" s="282"/>
    </row>
    <row r="79" spans="1:6" ht="25.15" customHeight="1">
      <c r="A79" s="126" t="s">
        <v>298</v>
      </c>
      <c r="B79" s="185" t="s">
        <v>539</v>
      </c>
      <c r="C79" s="281"/>
      <c r="D79" s="281"/>
      <c r="E79" s="282"/>
      <c r="F79" s="282"/>
    </row>
    <row r="80" spans="1:6" ht="25.15" customHeight="1">
      <c r="A80" s="126" t="s">
        <v>299</v>
      </c>
      <c r="B80" s="185" t="s">
        <v>540</v>
      </c>
      <c r="C80" s="281"/>
      <c r="D80" s="281"/>
      <c r="E80" s="282"/>
      <c r="F80" s="282"/>
    </row>
    <row r="81" spans="1:6" ht="25.15" customHeight="1">
      <c r="A81" s="126" t="s">
        <v>300</v>
      </c>
      <c r="B81" s="185" t="s">
        <v>541</v>
      </c>
      <c r="C81" s="281"/>
      <c r="D81" s="281"/>
      <c r="E81" s="282"/>
      <c r="F81" s="282"/>
    </row>
    <row r="82" spans="1:6" ht="25.15" customHeight="1">
      <c r="A82" s="126" t="s">
        <v>301</v>
      </c>
      <c r="B82" s="185" t="s">
        <v>542</v>
      </c>
      <c r="C82" s="281"/>
      <c r="D82" s="281"/>
      <c r="E82" s="282"/>
      <c r="F82" s="282"/>
    </row>
    <row r="83" spans="1:6" ht="25.15" customHeight="1">
      <c r="A83" s="126" t="s">
        <v>302</v>
      </c>
      <c r="B83" s="185" t="s">
        <v>543</v>
      </c>
      <c r="C83" s="281"/>
      <c r="D83" s="281"/>
      <c r="E83" s="282"/>
      <c r="F83" s="282"/>
    </row>
    <row r="84" spans="1:6" ht="25.15" customHeight="1">
      <c r="A84" s="126" t="s">
        <v>303</v>
      </c>
      <c r="B84" s="185" t="s">
        <v>544</v>
      </c>
      <c r="C84" s="281"/>
      <c r="D84" s="281"/>
      <c r="E84" s="282"/>
      <c r="F84" s="282"/>
    </row>
    <row r="85" spans="1:6" ht="25.15" customHeight="1">
      <c r="A85" s="126" t="s">
        <v>304</v>
      </c>
      <c r="B85" s="185" t="s">
        <v>545</v>
      </c>
      <c r="C85" s="281"/>
      <c r="D85" s="281"/>
      <c r="E85" s="282"/>
      <c r="F85" s="282"/>
    </row>
    <row r="86" spans="1:6" ht="25.15" customHeight="1">
      <c r="A86" s="126" t="s">
        <v>305</v>
      </c>
      <c r="B86" s="185" t="s">
        <v>546</v>
      </c>
      <c r="C86" s="281"/>
      <c r="D86" s="281"/>
      <c r="E86" s="282"/>
      <c r="F86" s="282"/>
    </row>
    <row r="87" spans="1:6" ht="25.15" customHeight="1">
      <c r="A87" s="126" t="s">
        <v>306</v>
      </c>
      <c r="B87" s="185" t="s">
        <v>547</v>
      </c>
      <c r="C87" s="281"/>
      <c r="D87" s="281"/>
      <c r="E87" s="282"/>
      <c r="F87" s="282"/>
    </row>
    <row r="88" spans="1:6" ht="25.15" customHeight="1">
      <c r="A88" s="126" t="s">
        <v>307</v>
      </c>
      <c r="B88" s="185" t="s">
        <v>548</v>
      </c>
      <c r="C88" s="281"/>
      <c r="D88" s="281"/>
      <c r="E88" s="282"/>
      <c r="F88" s="282"/>
    </row>
    <row r="89" spans="1:6" ht="25.15" customHeight="1">
      <c r="A89" s="126" t="s">
        <v>501</v>
      </c>
      <c r="B89" s="185" t="s">
        <v>549</v>
      </c>
      <c r="C89" s="281"/>
      <c r="D89" s="281"/>
      <c r="E89" s="282"/>
      <c r="F89" s="282"/>
    </row>
    <row r="90" spans="1:6" ht="25.15" customHeight="1">
      <c r="A90" s="126" t="s">
        <v>502</v>
      </c>
      <c r="B90" s="185" t="s">
        <v>550</v>
      </c>
      <c r="C90" s="281"/>
      <c r="D90" s="281"/>
      <c r="E90" s="282"/>
      <c r="F90" s="282"/>
    </row>
    <row r="91" spans="1:6" ht="25.15" customHeight="1">
      <c r="A91" s="267" t="s">
        <v>308</v>
      </c>
      <c r="B91" s="185" t="s">
        <v>309</v>
      </c>
      <c r="C91" s="283"/>
      <c r="D91" s="281"/>
      <c r="E91" s="282"/>
      <c r="F91" s="282"/>
    </row>
    <row r="92" spans="1:6" ht="25.15" customHeight="1">
      <c r="A92" s="267" t="s">
        <v>310</v>
      </c>
      <c r="B92" s="185" t="s">
        <v>311</v>
      </c>
      <c r="C92" s="283"/>
      <c r="D92" s="281"/>
      <c r="E92" s="282"/>
      <c r="F92" s="282"/>
    </row>
    <row r="93" spans="1:6" ht="25.15" customHeight="1">
      <c r="A93" s="267" t="s">
        <v>312</v>
      </c>
      <c r="B93" s="185" t="s">
        <v>313</v>
      </c>
      <c r="C93" s="283"/>
      <c r="D93" s="281"/>
      <c r="E93" s="282"/>
      <c r="F93" s="282"/>
    </row>
    <row r="94" spans="1:6" ht="25.15" customHeight="1">
      <c r="A94" s="267" t="s">
        <v>314</v>
      </c>
      <c r="B94" s="185" t="s">
        <v>315</v>
      </c>
      <c r="C94" s="283"/>
      <c r="D94" s="281"/>
      <c r="E94" s="282"/>
      <c r="F94" s="282"/>
    </row>
    <row r="95" spans="1:6" ht="25.15" customHeight="1">
      <c r="A95" s="267" t="s">
        <v>316</v>
      </c>
      <c r="B95" s="185" t="s">
        <v>317</v>
      </c>
      <c r="C95" s="283"/>
      <c r="D95" s="281"/>
      <c r="E95" s="282"/>
      <c r="F95" s="282"/>
    </row>
    <row r="96" spans="1:6" ht="25.15" customHeight="1">
      <c r="A96" s="267" t="s">
        <v>318</v>
      </c>
      <c r="B96" s="185" t="s">
        <v>319</v>
      </c>
      <c r="C96" s="283"/>
      <c r="D96" s="281"/>
      <c r="E96" s="282"/>
      <c r="F96" s="282"/>
    </row>
    <row r="97" spans="1:6" ht="25.15" customHeight="1">
      <c r="A97" s="267" t="s">
        <v>320</v>
      </c>
      <c r="B97" s="185" t="s">
        <v>321</v>
      </c>
      <c r="C97" s="283"/>
      <c r="D97" s="281"/>
      <c r="E97" s="282"/>
      <c r="F97" s="282"/>
    </row>
    <row r="98" spans="1:6" ht="25.15" customHeight="1">
      <c r="A98" s="267" t="s">
        <v>322</v>
      </c>
      <c r="B98" s="185" t="s">
        <v>323</v>
      </c>
      <c r="C98" s="283"/>
      <c r="D98" s="281"/>
      <c r="E98" s="282"/>
      <c r="F98" s="282"/>
    </row>
    <row r="99" spans="1:6" ht="25.15" customHeight="1">
      <c r="A99" s="267" t="s">
        <v>324</v>
      </c>
      <c r="B99" s="185" t="s">
        <v>325</v>
      </c>
      <c r="C99" s="283"/>
      <c r="D99" s="281"/>
      <c r="E99" s="282"/>
      <c r="F99" s="282"/>
    </row>
    <row r="100" spans="1:6" ht="25.15" customHeight="1">
      <c r="A100" s="267" t="s">
        <v>326</v>
      </c>
      <c r="B100" s="185" t="s">
        <v>327</v>
      </c>
      <c r="C100" s="283"/>
      <c r="D100" s="281"/>
      <c r="E100" s="282"/>
      <c r="F100" s="282"/>
    </row>
    <row r="101" spans="1:6" ht="25.15" customHeight="1">
      <c r="A101" s="267" t="s">
        <v>328</v>
      </c>
      <c r="B101" s="185" t="s">
        <v>329</v>
      </c>
      <c r="C101" s="283"/>
      <c r="D101" s="281"/>
      <c r="E101" s="282"/>
      <c r="F101" s="282"/>
    </row>
    <row r="102" spans="1:6" ht="25.15" customHeight="1">
      <c r="A102" s="267" t="s">
        <v>330</v>
      </c>
      <c r="B102" s="185" t="s">
        <v>331</v>
      </c>
      <c r="C102" s="283"/>
      <c r="D102" s="281"/>
      <c r="E102" s="282"/>
      <c r="F102" s="282"/>
    </row>
    <row r="103" spans="1:6" ht="25.15" customHeight="1">
      <c r="A103" s="268" t="s">
        <v>332</v>
      </c>
      <c r="B103" s="185" t="s">
        <v>333</v>
      </c>
      <c r="C103" s="283"/>
      <c r="D103" s="281"/>
      <c r="E103" s="282"/>
      <c r="F103" s="282"/>
    </row>
    <row r="104" spans="1:6" ht="25.15" customHeight="1">
      <c r="A104" s="268" t="s">
        <v>334</v>
      </c>
      <c r="B104" s="185" t="s">
        <v>335</v>
      </c>
      <c r="C104" s="283"/>
      <c r="D104" s="281"/>
      <c r="E104" s="282"/>
      <c r="F104" s="282"/>
    </row>
    <row r="105" spans="1:6" ht="25.15" customHeight="1">
      <c r="A105" s="268" t="s">
        <v>336</v>
      </c>
      <c r="B105" s="185" t="s">
        <v>337</v>
      </c>
      <c r="C105" s="283"/>
      <c r="D105" s="281"/>
      <c r="E105" s="282"/>
      <c r="F105" s="282"/>
    </row>
    <row r="106" spans="1:6" ht="25.15" customHeight="1">
      <c r="A106" s="268" t="s">
        <v>338</v>
      </c>
      <c r="B106" s="185" t="s">
        <v>339</v>
      </c>
      <c r="C106" s="283"/>
      <c r="D106" s="281"/>
      <c r="E106" s="282"/>
      <c r="F106" s="282"/>
    </row>
    <row r="107" spans="1:6" ht="25.15" customHeight="1">
      <c r="A107" s="268" t="s">
        <v>340</v>
      </c>
      <c r="B107" s="185" t="s">
        <v>341</v>
      </c>
      <c r="C107" s="283"/>
      <c r="D107" s="281"/>
      <c r="E107" s="282"/>
      <c r="F107" s="282"/>
    </row>
    <row r="108" spans="1:6" ht="25.15" customHeight="1">
      <c r="A108" s="268" t="s">
        <v>342</v>
      </c>
      <c r="B108" s="185" t="s">
        <v>343</v>
      </c>
      <c r="C108" s="283"/>
      <c r="D108" s="281"/>
      <c r="E108" s="282"/>
      <c r="F108" s="282"/>
    </row>
    <row r="109" spans="1:6" ht="25.15" customHeight="1">
      <c r="A109" s="268" t="s">
        <v>551</v>
      </c>
      <c r="B109" s="185" t="s">
        <v>552</v>
      </c>
      <c r="C109" s="283"/>
      <c r="D109" s="281"/>
      <c r="E109" s="282"/>
      <c r="F109" s="282"/>
    </row>
    <row r="110" spans="1:6" ht="25.15" customHeight="1">
      <c r="A110" s="268" t="s">
        <v>553</v>
      </c>
      <c r="B110" s="185" t="s">
        <v>554</v>
      </c>
      <c r="C110" s="283"/>
      <c r="D110" s="281"/>
      <c r="E110" s="282"/>
      <c r="F110" s="282"/>
    </row>
    <row r="111" spans="1:6" ht="25.15" customHeight="1">
      <c r="A111" s="268" t="s">
        <v>555</v>
      </c>
      <c r="B111" s="185" t="s">
        <v>556</v>
      </c>
      <c r="C111" s="283"/>
      <c r="D111" s="281"/>
      <c r="E111" s="282"/>
      <c r="F111" s="282"/>
    </row>
    <row r="112" spans="1:6" ht="25.15" customHeight="1">
      <c r="A112" s="268" t="s">
        <v>557</v>
      </c>
      <c r="B112" s="185" t="s">
        <v>558</v>
      </c>
      <c r="C112" s="283"/>
      <c r="D112" s="281"/>
      <c r="E112" s="282"/>
      <c r="F112" s="282"/>
    </row>
    <row r="113" spans="1:6" ht="25.15" customHeight="1">
      <c r="A113" s="268" t="s">
        <v>559</v>
      </c>
      <c r="B113" s="185" t="s">
        <v>560</v>
      </c>
      <c r="C113" s="283"/>
      <c r="D113" s="281"/>
      <c r="E113" s="282"/>
      <c r="F113" s="282"/>
    </row>
    <row r="114" spans="1:6" ht="25.15" customHeight="1">
      <c r="A114" s="268" t="s">
        <v>561</v>
      </c>
      <c r="B114" s="185" t="s">
        <v>562</v>
      </c>
      <c r="C114" s="283"/>
      <c r="D114" s="281"/>
      <c r="E114" s="282"/>
      <c r="F114" s="282"/>
    </row>
    <row r="115" spans="1:6" ht="25.15" customHeight="1">
      <c r="A115" s="126" t="s">
        <v>563</v>
      </c>
      <c r="B115" s="185" t="s">
        <v>564</v>
      </c>
      <c r="C115" s="283"/>
      <c r="D115" s="281"/>
      <c r="E115" s="282"/>
      <c r="F115" s="282"/>
    </row>
    <row r="116" spans="1:6" ht="25.15" customHeight="1">
      <c r="A116" s="126" t="s">
        <v>565</v>
      </c>
      <c r="B116" s="185" t="s">
        <v>566</v>
      </c>
      <c r="C116" s="283"/>
      <c r="D116" s="281"/>
      <c r="E116" s="282"/>
      <c r="F116" s="282"/>
    </row>
    <row r="117" spans="1:6" ht="25.15" customHeight="1">
      <c r="A117" s="126" t="s">
        <v>567</v>
      </c>
      <c r="B117" s="185" t="s">
        <v>568</v>
      </c>
      <c r="C117" s="283"/>
      <c r="D117" s="281"/>
      <c r="E117" s="282"/>
      <c r="F117" s="282"/>
    </row>
    <row r="118" spans="1:6" ht="25.15" customHeight="1">
      <c r="A118" s="126" t="s">
        <v>569</v>
      </c>
      <c r="B118" s="185" t="s">
        <v>570</v>
      </c>
      <c r="C118" s="283"/>
      <c r="D118" s="281"/>
      <c r="E118" s="282"/>
      <c r="F118" s="282"/>
    </row>
    <row r="119" spans="1:6" ht="25.15" customHeight="1">
      <c r="A119" s="126" t="s">
        <v>571</v>
      </c>
      <c r="B119" s="185" t="s">
        <v>572</v>
      </c>
      <c r="C119" s="283"/>
      <c r="D119" s="281"/>
      <c r="E119" s="282"/>
      <c r="F119" s="282"/>
    </row>
    <row r="120" spans="1:6" ht="25.15" customHeight="1">
      <c r="A120" s="126" t="s">
        <v>344</v>
      </c>
      <c r="B120" s="185" t="s">
        <v>345</v>
      </c>
      <c r="C120" s="283"/>
      <c r="D120" s="283"/>
      <c r="E120" s="284"/>
      <c r="F120" s="284"/>
    </row>
    <row r="121" spans="1:6" ht="25.15" customHeight="1">
      <c r="A121" s="126" t="s">
        <v>573</v>
      </c>
      <c r="B121" s="185" t="s">
        <v>346</v>
      </c>
      <c r="C121" s="283"/>
      <c r="D121" s="283"/>
      <c r="E121" s="282"/>
      <c r="F121" s="284"/>
    </row>
    <row r="122" spans="1:6" ht="25.15" customHeight="1">
      <c r="A122" s="126" t="s">
        <v>347</v>
      </c>
      <c r="B122" s="185" t="s">
        <v>348</v>
      </c>
      <c r="C122" s="283"/>
      <c r="D122" s="283"/>
      <c r="E122" s="284"/>
      <c r="F122" s="284"/>
    </row>
    <row r="123" spans="1:6" ht="25.15" customHeight="1">
      <c r="A123" s="185" t="s">
        <v>106</v>
      </c>
      <c r="B123" s="185" t="s">
        <v>349</v>
      </c>
      <c r="C123" s="281"/>
      <c r="D123" s="281"/>
      <c r="E123" s="282"/>
      <c r="F123" s="282"/>
    </row>
    <row r="124" spans="1:6" ht="25.15" customHeight="1">
      <c r="A124" s="185" t="s">
        <v>107</v>
      </c>
      <c r="B124" s="185" t="s">
        <v>350</v>
      </c>
      <c r="C124" s="281"/>
      <c r="D124" s="281"/>
      <c r="E124" s="282"/>
      <c r="F124" s="282"/>
    </row>
    <row r="125" spans="1:6" ht="25.15" customHeight="1">
      <c r="A125" s="185" t="s">
        <v>108</v>
      </c>
      <c r="B125" s="185" t="s">
        <v>351</v>
      </c>
      <c r="C125" s="281"/>
      <c r="D125" s="281"/>
      <c r="E125" s="282"/>
      <c r="F125" s="282"/>
    </row>
    <row r="126" spans="1:6" ht="25.15" customHeight="1">
      <c r="A126" s="185" t="s">
        <v>109</v>
      </c>
      <c r="B126" s="185" t="s">
        <v>352</v>
      </c>
      <c r="C126" s="281"/>
      <c r="D126" s="281"/>
      <c r="E126" s="282"/>
      <c r="F126" s="282"/>
    </row>
    <row r="127" spans="1:6" ht="25.15" customHeight="1">
      <c r="A127" s="185" t="s">
        <v>112</v>
      </c>
      <c r="B127" s="185" t="s">
        <v>353</v>
      </c>
      <c r="C127" s="281"/>
      <c r="D127" s="281"/>
      <c r="E127" s="282"/>
      <c r="F127" s="282"/>
    </row>
    <row r="128" spans="1:6" ht="25.15" customHeight="1">
      <c r="A128" s="185" t="s">
        <v>113</v>
      </c>
      <c r="B128" s="185" t="s">
        <v>354</v>
      </c>
      <c r="C128" s="281"/>
      <c r="D128" s="281"/>
      <c r="E128" s="282"/>
      <c r="F128" s="282"/>
    </row>
    <row r="129" spans="1:6" ht="25.15" customHeight="1">
      <c r="A129" s="185" t="s">
        <v>114</v>
      </c>
      <c r="B129" s="185" t="s">
        <v>355</v>
      </c>
      <c r="C129" s="281"/>
      <c r="D129" s="281"/>
      <c r="E129" s="282"/>
      <c r="F129" s="282"/>
    </row>
    <row r="130" spans="1:6" ht="25.15" customHeight="1">
      <c r="A130" s="185" t="s">
        <v>115</v>
      </c>
      <c r="B130" s="185" t="s">
        <v>356</v>
      </c>
      <c r="C130" s="281"/>
      <c r="D130" s="281"/>
      <c r="E130" s="282"/>
      <c r="F130" s="282"/>
    </row>
    <row r="131" spans="1:6" ht="25.15" customHeight="1">
      <c r="A131" s="185" t="s">
        <v>116</v>
      </c>
      <c r="B131" s="185" t="s">
        <v>357</v>
      </c>
      <c r="C131" s="281"/>
      <c r="D131" s="281"/>
      <c r="E131" s="282"/>
      <c r="F131" s="282"/>
    </row>
    <row r="132" spans="1:6" ht="25.15" customHeight="1">
      <c r="A132" s="185" t="s">
        <v>117</v>
      </c>
      <c r="B132" s="185" t="s">
        <v>358</v>
      </c>
      <c r="C132" s="281"/>
      <c r="D132" s="281"/>
      <c r="E132" s="282"/>
      <c r="F132" s="282"/>
    </row>
    <row r="133" spans="1:6" ht="25.15" customHeight="1">
      <c r="A133" s="185" t="s">
        <v>118</v>
      </c>
      <c r="B133" s="185" t="s">
        <v>359</v>
      </c>
      <c r="C133" s="281"/>
      <c r="D133" s="281"/>
      <c r="E133" s="282"/>
      <c r="F133" s="282"/>
    </row>
    <row r="134" spans="1:6" ht="25.15" customHeight="1">
      <c r="A134" s="185" t="s">
        <v>119</v>
      </c>
      <c r="B134" s="185" t="s">
        <v>360</v>
      </c>
      <c r="C134" s="281"/>
      <c r="D134" s="281"/>
      <c r="E134" s="282"/>
      <c r="F134" s="282"/>
    </row>
    <row r="135" spans="1:6" ht="25.15" customHeight="1">
      <c r="A135" s="185" t="s">
        <v>120</v>
      </c>
      <c r="B135" s="185" t="s">
        <v>361</v>
      </c>
      <c r="C135" s="281"/>
      <c r="D135" s="281"/>
      <c r="E135" s="282"/>
      <c r="F135" s="282"/>
    </row>
    <row r="136" spans="1:6" ht="25.15" customHeight="1">
      <c r="A136" s="185" t="s">
        <v>121</v>
      </c>
      <c r="B136" s="185" t="s">
        <v>362</v>
      </c>
      <c r="C136" s="281"/>
      <c r="D136" s="281"/>
      <c r="E136" s="282"/>
      <c r="F136" s="282"/>
    </row>
    <row r="137" spans="1:6" ht="25.15" customHeight="1">
      <c r="A137" s="185" t="s">
        <v>122</v>
      </c>
      <c r="B137" s="185" t="s">
        <v>363</v>
      </c>
      <c r="C137" s="281"/>
      <c r="D137" s="281"/>
      <c r="E137" s="282"/>
      <c r="F137" s="282"/>
    </row>
    <row r="138" spans="1:6" ht="25.15" customHeight="1">
      <c r="A138" s="185" t="s">
        <v>123</v>
      </c>
      <c r="B138" s="185" t="s">
        <v>364</v>
      </c>
      <c r="C138" s="281"/>
      <c r="D138" s="281"/>
      <c r="E138" s="282"/>
      <c r="F138" s="282"/>
    </row>
    <row r="139" spans="1:6" ht="25.15" customHeight="1">
      <c r="A139" s="185" t="s">
        <v>124</v>
      </c>
      <c r="B139" s="185" t="s">
        <v>365</v>
      </c>
      <c r="C139" s="281"/>
      <c r="D139" s="281"/>
      <c r="E139" s="282"/>
      <c r="F139" s="282"/>
    </row>
    <row r="140" spans="1:6" ht="25.15" customHeight="1">
      <c r="A140" s="185" t="s">
        <v>125</v>
      </c>
      <c r="B140" s="185" t="s">
        <v>366</v>
      </c>
      <c r="C140" s="281"/>
      <c r="D140" s="281"/>
      <c r="E140" s="282"/>
      <c r="F140" s="282"/>
    </row>
    <row r="141" spans="1:6" ht="25.15" customHeight="1">
      <c r="A141" s="185" t="s">
        <v>126</v>
      </c>
      <c r="B141" s="185" t="s">
        <v>367</v>
      </c>
      <c r="C141" s="281"/>
      <c r="D141" s="281"/>
      <c r="E141" s="282"/>
      <c r="F141" s="282"/>
    </row>
    <row r="142" spans="1:6" ht="25.15" customHeight="1">
      <c r="A142" s="185" t="s">
        <v>127</v>
      </c>
      <c r="B142" s="185" t="s">
        <v>368</v>
      </c>
      <c r="C142" s="281"/>
      <c r="D142" s="281"/>
      <c r="E142" s="282"/>
      <c r="F142" s="282"/>
    </row>
    <row r="143" spans="1:6" ht="25.15" customHeight="1">
      <c r="A143" s="185" t="s">
        <v>128</v>
      </c>
      <c r="B143" s="185" t="s">
        <v>369</v>
      </c>
      <c r="C143" s="281"/>
      <c r="D143" s="281"/>
      <c r="E143" s="282"/>
      <c r="F143" s="282"/>
    </row>
    <row r="144" spans="1:6" ht="25.15" customHeight="1">
      <c r="A144" s="185" t="s">
        <v>129</v>
      </c>
      <c r="B144" s="185" t="s">
        <v>370</v>
      </c>
      <c r="C144" s="281"/>
      <c r="D144" s="281"/>
      <c r="E144" s="282"/>
      <c r="F144" s="282"/>
    </row>
    <row r="145" spans="1:6" ht="25.15" customHeight="1">
      <c r="A145" s="185" t="s">
        <v>130</v>
      </c>
      <c r="B145" s="185" t="s">
        <v>371</v>
      </c>
      <c r="C145" s="281"/>
      <c r="D145" s="281"/>
      <c r="E145" s="282"/>
      <c r="F145" s="282"/>
    </row>
    <row r="146" spans="1:6" ht="25.15" customHeight="1">
      <c r="A146" s="185" t="s">
        <v>131</v>
      </c>
      <c r="B146" s="185" t="s">
        <v>372</v>
      </c>
      <c r="C146" s="281"/>
      <c r="D146" s="281"/>
      <c r="E146" s="282"/>
      <c r="F146" s="282"/>
    </row>
    <row r="147" spans="1:6" ht="25.15" customHeight="1">
      <c r="A147" s="185" t="s">
        <v>373</v>
      </c>
      <c r="B147" s="185" t="s">
        <v>374</v>
      </c>
      <c r="C147" s="281"/>
      <c r="D147" s="281"/>
      <c r="E147" s="282"/>
      <c r="F147" s="282"/>
    </row>
    <row r="148" spans="1:6" ht="25.15" customHeight="1">
      <c r="A148" s="185" t="s">
        <v>141</v>
      </c>
      <c r="B148" s="185" t="s">
        <v>376</v>
      </c>
      <c r="C148" s="281"/>
      <c r="D148" s="282"/>
      <c r="E148" s="282"/>
      <c r="F148" s="282"/>
    </row>
    <row r="149" spans="1:6" ht="25.15" customHeight="1">
      <c r="A149" s="185" t="s">
        <v>142</v>
      </c>
      <c r="B149" s="185" t="s">
        <v>375</v>
      </c>
      <c r="C149" s="281"/>
      <c r="D149" s="282"/>
      <c r="E149" s="282"/>
      <c r="F149" s="282"/>
    </row>
    <row r="150" spans="1:6" ht="25.15" customHeight="1">
      <c r="A150" s="185" t="s">
        <v>148</v>
      </c>
      <c r="B150" s="185" t="s">
        <v>377</v>
      </c>
      <c r="C150" s="281"/>
      <c r="D150" s="281"/>
      <c r="E150" s="282"/>
      <c r="F150" s="282"/>
    </row>
    <row r="151" spans="1:6" ht="25.15" customHeight="1">
      <c r="A151" s="185" t="s">
        <v>143</v>
      </c>
      <c r="B151" s="185" t="s">
        <v>574</v>
      </c>
      <c r="C151" s="281"/>
      <c r="D151" s="281"/>
      <c r="E151" s="282"/>
      <c r="F151" s="282"/>
    </row>
    <row r="152" spans="1:6" ht="25.15" customHeight="1">
      <c r="A152" s="185" t="s">
        <v>144</v>
      </c>
      <c r="B152" s="185" t="s">
        <v>575</v>
      </c>
      <c r="C152" s="281"/>
      <c r="D152" s="281"/>
      <c r="E152" s="282"/>
      <c r="F152" s="282"/>
    </row>
    <row r="153" spans="1:6" ht="25.15" customHeight="1">
      <c r="A153" s="185" t="s">
        <v>145</v>
      </c>
      <c r="B153" s="185" t="s">
        <v>576</v>
      </c>
      <c r="C153" s="281"/>
      <c r="D153" s="281"/>
      <c r="E153" s="282"/>
      <c r="F153" s="282"/>
    </row>
    <row r="154" spans="1:6" ht="25.15" customHeight="1">
      <c r="A154" s="185" t="s">
        <v>146</v>
      </c>
      <c r="B154" s="185" t="s">
        <v>577</v>
      </c>
      <c r="C154" s="281"/>
      <c r="D154" s="281"/>
      <c r="E154" s="282"/>
      <c r="F154" s="282"/>
    </row>
    <row r="155" spans="1:6" ht="25.15" customHeight="1">
      <c r="A155" s="185" t="s">
        <v>147</v>
      </c>
      <c r="B155" s="185" t="s">
        <v>578</v>
      </c>
      <c r="C155" s="281"/>
      <c r="D155" s="281"/>
      <c r="E155" s="282"/>
      <c r="F155" s="282"/>
    </row>
    <row r="156" spans="1:6" ht="25.15" customHeight="1">
      <c r="A156" s="185" t="s">
        <v>378</v>
      </c>
      <c r="B156" s="185" t="s">
        <v>379</v>
      </c>
      <c r="C156" s="282"/>
      <c r="D156" s="281"/>
      <c r="E156" s="282"/>
      <c r="F156" s="282"/>
    </row>
    <row r="157" spans="1:6" ht="25.15" customHeight="1">
      <c r="A157" s="185" t="s">
        <v>380</v>
      </c>
      <c r="B157" s="185" t="s">
        <v>381</v>
      </c>
      <c r="C157" s="282"/>
      <c r="D157" s="281"/>
      <c r="E157" s="282"/>
      <c r="F157" s="282"/>
    </row>
    <row r="158" spans="1:6" ht="25.15" customHeight="1">
      <c r="A158" s="185" t="s">
        <v>382</v>
      </c>
      <c r="B158" s="185" t="s">
        <v>383</v>
      </c>
      <c r="C158" s="282"/>
      <c r="D158" s="281"/>
      <c r="E158" s="282"/>
      <c r="F158" s="282"/>
    </row>
    <row r="159" spans="1:6" ht="25.15" customHeight="1">
      <c r="A159" s="185" t="s">
        <v>384</v>
      </c>
      <c r="B159" s="185" t="s">
        <v>385</v>
      </c>
      <c r="C159" s="282"/>
      <c r="D159" s="281"/>
      <c r="E159" s="282"/>
      <c r="F159" s="282"/>
    </row>
    <row r="160" spans="1:6" ht="25.15" customHeight="1">
      <c r="A160" s="185" t="s">
        <v>386</v>
      </c>
      <c r="B160" s="185" t="s">
        <v>387</v>
      </c>
      <c r="C160" s="282"/>
      <c r="D160" s="281"/>
      <c r="E160" s="282"/>
      <c r="F160" s="282"/>
    </row>
    <row r="161" spans="1:6" ht="25.15" customHeight="1">
      <c r="A161" s="185" t="s">
        <v>388</v>
      </c>
      <c r="B161" s="185" t="s">
        <v>389</v>
      </c>
      <c r="C161" s="282"/>
      <c r="D161" s="281"/>
      <c r="E161" s="282"/>
      <c r="F161" s="282"/>
    </row>
    <row r="162" spans="1:6" ht="25.15" customHeight="1">
      <c r="A162" s="185" t="s">
        <v>390</v>
      </c>
      <c r="B162" s="185" t="s">
        <v>391</v>
      </c>
      <c r="C162" s="282"/>
      <c r="D162" s="281"/>
      <c r="E162" s="282"/>
      <c r="F162" s="282"/>
    </row>
    <row r="163" spans="1:6" ht="25.15" customHeight="1">
      <c r="A163" s="185" t="s">
        <v>392</v>
      </c>
      <c r="B163" s="185" t="s">
        <v>393</v>
      </c>
      <c r="C163" s="282"/>
      <c r="D163" s="281"/>
      <c r="E163" s="282"/>
      <c r="F163" s="282"/>
    </row>
    <row r="164" spans="1:6" ht="25.15" customHeight="1">
      <c r="A164" s="185" t="s">
        <v>394</v>
      </c>
      <c r="B164" s="185" t="s">
        <v>395</v>
      </c>
      <c r="C164" s="282"/>
      <c r="D164" s="281"/>
      <c r="E164" s="282"/>
      <c r="F164" s="282"/>
    </row>
    <row r="165" spans="1:6" ht="25.15" customHeight="1">
      <c r="A165" s="185" t="s">
        <v>396</v>
      </c>
      <c r="B165" s="185" t="s">
        <v>397</v>
      </c>
      <c r="C165" s="282"/>
      <c r="D165" s="281"/>
      <c r="E165" s="282"/>
      <c r="F165" s="282"/>
    </row>
    <row r="166" spans="1:6" ht="25.15" customHeight="1">
      <c r="A166" s="185" t="s">
        <v>398</v>
      </c>
      <c r="B166" s="185" t="s">
        <v>399</v>
      </c>
      <c r="C166" s="282"/>
      <c r="D166" s="281"/>
      <c r="E166" s="282"/>
      <c r="F166" s="282"/>
    </row>
    <row r="167" spans="1:6" ht="25.15" customHeight="1">
      <c r="A167" s="185" t="s">
        <v>400</v>
      </c>
      <c r="B167" s="185" t="s">
        <v>401</v>
      </c>
      <c r="C167" s="282"/>
      <c r="D167" s="281"/>
      <c r="E167" s="282"/>
      <c r="F167" s="282"/>
    </row>
    <row r="168" spans="1:6" ht="25.15" customHeight="1">
      <c r="A168" s="185" t="s">
        <v>402</v>
      </c>
      <c r="B168" s="185" t="s">
        <v>403</v>
      </c>
      <c r="C168" s="281"/>
      <c r="D168" s="282"/>
      <c r="E168" s="282"/>
      <c r="F168" s="282"/>
    </row>
    <row r="169" spans="1:6" ht="25.15" customHeight="1">
      <c r="A169" s="185" t="s">
        <v>404</v>
      </c>
      <c r="B169" s="185" t="s">
        <v>405</v>
      </c>
      <c r="C169" s="282"/>
      <c r="D169" s="281"/>
      <c r="E169" s="282"/>
      <c r="F169" s="282"/>
    </row>
    <row r="170" spans="1:6" ht="25.15" customHeight="1">
      <c r="A170" s="185" t="s">
        <v>406</v>
      </c>
      <c r="B170" s="185" t="s">
        <v>407</v>
      </c>
      <c r="C170" s="282"/>
      <c r="D170" s="282"/>
      <c r="E170" s="285"/>
      <c r="F170" s="285"/>
    </row>
    <row r="171" spans="1:6" ht="25.15" customHeight="1">
      <c r="A171" s="185" t="s">
        <v>408</v>
      </c>
      <c r="B171" s="185" t="s">
        <v>409</v>
      </c>
      <c r="C171" s="282"/>
      <c r="D171" s="282"/>
      <c r="E171" s="282"/>
      <c r="F171" s="285"/>
    </row>
    <row r="172" spans="1:6" ht="25.15" customHeight="1">
      <c r="A172" s="185" t="s">
        <v>410</v>
      </c>
      <c r="B172" s="185" t="s">
        <v>411</v>
      </c>
      <c r="C172" s="282"/>
      <c r="D172" s="282"/>
      <c r="E172" s="285"/>
      <c r="F172" s="285"/>
    </row>
    <row r="173" spans="1:6" ht="25.15" customHeight="1">
      <c r="A173" s="268" t="s">
        <v>154</v>
      </c>
      <c r="B173" s="268" t="s">
        <v>412</v>
      </c>
      <c r="C173" s="281"/>
      <c r="D173" s="282"/>
      <c r="E173" s="282"/>
      <c r="F173" s="282"/>
    </row>
    <row r="174" spans="1:6" ht="25.15" customHeight="1">
      <c r="A174" s="268" t="s">
        <v>156</v>
      </c>
      <c r="B174" s="268" t="s">
        <v>413</v>
      </c>
      <c r="C174" s="281"/>
      <c r="D174" s="282"/>
      <c r="E174" s="282"/>
      <c r="F174" s="282"/>
    </row>
    <row r="175" spans="1:6" ht="25.15" customHeight="1">
      <c r="A175" s="268" t="s">
        <v>158</v>
      </c>
      <c r="B175" s="268" t="s">
        <v>414</v>
      </c>
      <c r="C175" s="281"/>
      <c r="D175" s="282"/>
      <c r="E175" s="282"/>
      <c r="F175" s="282"/>
    </row>
    <row r="176" spans="1:6" ht="25.15" customHeight="1">
      <c r="A176" s="268" t="s">
        <v>160</v>
      </c>
      <c r="B176" s="268" t="s">
        <v>415</v>
      </c>
      <c r="C176" s="281"/>
      <c r="D176" s="282"/>
      <c r="E176" s="282"/>
      <c r="F176" s="282"/>
    </row>
    <row r="177" spans="1:6" ht="25.15" customHeight="1">
      <c r="A177" s="268" t="s">
        <v>162</v>
      </c>
      <c r="B177" s="268" t="s">
        <v>416</v>
      </c>
      <c r="C177" s="281"/>
      <c r="D177" s="282"/>
      <c r="E177" s="282"/>
      <c r="F177" s="282"/>
    </row>
    <row r="178" spans="1:6" ht="25.15" customHeight="1">
      <c r="A178" s="268" t="s">
        <v>164</v>
      </c>
      <c r="B178" s="268" t="s">
        <v>417</v>
      </c>
      <c r="C178" s="281"/>
      <c r="D178" s="282"/>
      <c r="E178" s="282"/>
      <c r="F178" s="282"/>
    </row>
    <row r="179" spans="1:6" ht="25.15" customHeight="1">
      <c r="A179" s="268" t="s">
        <v>166</v>
      </c>
      <c r="B179" s="268" t="s">
        <v>418</v>
      </c>
      <c r="C179" s="281"/>
      <c r="D179" s="282"/>
      <c r="E179" s="282"/>
      <c r="F179" s="282"/>
    </row>
    <row r="180" spans="1:6" ht="25.15" customHeight="1">
      <c r="A180" s="268" t="s">
        <v>168</v>
      </c>
      <c r="B180" s="268" t="s">
        <v>419</v>
      </c>
      <c r="C180" s="281"/>
      <c r="D180" s="282"/>
      <c r="E180" s="282"/>
      <c r="F180" s="282"/>
    </row>
    <row r="181" spans="1:6" ht="25.15" customHeight="1">
      <c r="A181" s="268" t="s">
        <v>170</v>
      </c>
      <c r="B181" s="268" t="s">
        <v>420</v>
      </c>
      <c r="C181" s="281"/>
      <c r="D181" s="282"/>
      <c r="E181" s="282"/>
      <c r="F181" s="282"/>
    </row>
    <row r="182" spans="1:6" ht="14.25" customHeight="1">
      <c r="A182" s="268" t="s">
        <v>172</v>
      </c>
      <c r="B182" s="268" t="s">
        <v>421</v>
      </c>
      <c r="C182" s="281"/>
      <c r="D182" s="282"/>
      <c r="E182" s="282"/>
      <c r="F182" s="282"/>
    </row>
    <row r="183" spans="1:6" ht="14.25" customHeight="1">
      <c r="A183" s="268" t="s">
        <v>174</v>
      </c>
      <c r="B183" s="268" t="s">
        <v>422</v>
      </c>
      <c r="C183" s="281"/>
      <c r="D183" s="282"/>
      <c r="E183" s="282"/>
      <c r="F183" s="282"/>
    </row>
    <row r="184" spans="1:6" ht="14.25" customHeight="1">
      <c r="A184" s="268" t="s">
        <v>176</v>
      </c>
      <c r="B184" s="268" t="s">
        <v>423</v>
      </c>
      <c r="C184" s="281"/>
      <c r="D184" s="282"/>
      <c r="E184" s="282"/>
      <c r="F184" s="282"/>
    </row>
    <row r="185" spans="1:6" ht="14.25" customHeight="1">
      <c r="A185" s="268" t="s">
        <v>178</v>
      </c>
      <c r="B185" s="268" t="s">
        <v>424</v>
      </c>
      <c r="C185" s="281"/>
      <c r="D185" s="282"/>
      <c r="E185" s="282"/>
      <c r="F185" s="282"/>
    </row>
    <row r="186" spans="1:6" ht="14.25" customHeight="1">
      <c r="A186" s="268" t="s">
        <v>180</v>
      </c>
      <c r="B186" s="268" t="s">
        <v>425</v>
      </c>
      <c r="C186" s="281"/>
      <c r="D186" s="282"/>
      <c r="E186" s="282"/>
      <c r="F186" s="282"/>
    </row>
    <row r="187" spans="1:6" ht="14.25" customHeight="1">
      <c r="A187" s="268" t="s">
        <v>182</v>
      </c>
      <c r="B187" s="268" t="s">
        <v>426</v>
      </c>
      <c r="C187" s="281"/>
      <c r="D187" s="282"/>
      <c r="E187" s="282"/>
      <c r="F187" s="282"/>
    </row>
    <row r="188" spans="1:6" ht="14.25" customHeight="1">
      <c r="A188" s="268" t="s">
        <v>184</v>
      </c>
      <c r="B188" s="268" t="s">
        <v>427</v>
      </c>
      <c r="C188" s="281"/>
      <c r="D188" s="282"/>
      <c r="E188" s="282"/>
      <c r="F188" s="282"/>
    </row>
    <row r="189" spans="1:6" ht="14.25" customHeight="1">
      <c r="A189" s="268" t="s">
        <v>186</v>
      </c>
      <c r="B189" s="268" t="s">
        <v>428</v>
      </c>
      <c r="C189" s="281"/>
      <c r="D189" s="282"/>
      <c r="E189" s="282"/>
      <c r="F189" s="282"/>
    </row>
    <row r="190" spans="1:6" ht="14.25" customHeight="1">
      <c r="A190" s="268" t="s">
        <v>188</v>
      </c>
      <c r="B190" s="268" t="s">
        <v>429</v>
      </c>
      <c r="C190" s="281"/>
      <c r="D190" s="282"/>
      <c r="E190" s="282"/>
      <c r="F190" s="282"/>
    </row>
    <row r="191" spans="1:6" ht="14.25" customHeight="1">
      <c r="A191" s="268" t="s">
        <v>190</v>
      </c>
      <c r="B191" s="268" t="s">
        <v>430</v>
      </c>
      <c r="C191" s="281"/>
      <c r="D191" s="282"/>
      <c r="E191" s="282"/>
      <c r="F191" s="282"/>
    </row>
    <row r="192" spans="1:6" ht="14.25" customHeight="1">
      <c r="A192" s="268" t="s">
        <v>192</v>
      </c>
      <c r="B192" s="268" t="s">
        <v>431</v>
      </c>
      <c r="C192" s="281"/>
      <c r="D192" s="282"/>
      <c r="E192" s="282"/>
      <c r="F192" s="282"/>
    </row>
    <row r="193" spans="1:6" ht="14.25" customHeight="1">
      <c r="A193" s="268" t="s">
        <v>194</v>
      </c>
      <c r="B193" s="268" t="s">
        <v>432</v>
      </c>
      <c r="C193" s="281"/>
      <c r="D193" s="282"/>
      <c r="E193" s="282"/>
      <c r="F193" s="282"/>
    </row>
    <row r="194" spans="1:6" ht="14.25" customHeight="1">
      <c r="A194" s="268" t="s">
        <v>196</v>
      </c>
      <c r="B194" s="268" t="s">
        <v>433</v>
      </c>
      <c r="C194" s="281"/>
      <c r="D194" s="282"/>
      <c r="E194" s="282"/>
      <c r="F194" s="282"/>
    </row>
    <row r="195" spans="1:6" ht="14.25" customHeight="1">
      <c r="A195" s="268" t="s">
        <v>198</v>
      </c>
      <c r="B195" s="268" t="s">
        <v>434</v>
      </c>
      <c r="C195" s="281"/>
      <c r="D195" s="282"/>
      <c r="E195" s="282"/>
      <c r="F195" s="282"/>
    </row>
    <row r="196" spans="1:6" ht="14.25" customHeight="1">
      <c r="A196" s="268" t="s">
        <v>200</v>
      </c>
      <c r="B196" s="268" t="s">
        <v>435</v>
      </c>
      <c r="C196" s="281"/>
      <c r="D196" s="282"/>
      <c r="E196" s="282"/>
      <c r="F196" s="282"/>
    </row>
    <row r="197" spans="1:6" ht="14.25" customHeight="1">
      <c r="A197" s="268" t="s">
        <v>202</v>
      </c>
      <c r="B197" s="268" t="s">
        <v>436</v>
      </c>
      <c r="C197" s="281"/>
      <c r="D197" s="282"/>
      <c r="E197" s="282"/>
      <c r="F197" s="282"/>
    </row>
    <row r="198" spans="1:6" ht="14.25" customHeight="1">
      <c r="A198" s="268" t="s">
        <v>204</v>
      </c>
      <c r="B198" s="268" t="s">
        <v>437</v>
      </c>
      <c r="C198" s="281"/>
      <c r="D198" s="282"/>
      <c r="E198" s="282"/>
      <c r="F198" s="282"/>
    </row>
  </sheetData>
  <sheetProtection sheet="1" objects="1" scenarios="1"/>
  <mergeCells count="1">
    <mergeCell ref="C1:F1"/>
  </mergeCells>
  <phoneticPr fontId="35" type="noConversion"/>
  <dataValidations count="1">
    <dataValidation type="decimal" operator="equal" allowBlank="1" showInputMessage="1" showErrorMessage="1" sqref="E173:F198 E3:F44 D170:D198 E123:F169 C156:C167 D168 C169:C172 E171 D148:D149">
      <formula1>0</formula1>
    </dataValidation>
  </dataValidations>
  <pageMargins left="0.7" right="0.7" top="0.75" bottom="0.75" header="0.3" footer="0.3"/>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dimension ref="B1:G12"/>
  <sheetViews>
    <sheetView workbookViewId="0">
      <selection activeCell="B25" sqref="B25"/>
    </sheetView>
  </sheetViews>
  <sheetFormatPr defaultColWidth="9.28515625" defaultRowHeight="12.75"/>
  <cols>
    <col min="1" max="1" width="2.7109375" style="46" customWidth="1"/>
    <col min="2" max="2" width="58.28515625" style="46" customWidth="1"/>
    <col min="3" max="6" width="15.7109375" style="46" customWidth="1"/>
    <col min="7" max="16384" width="9.28515625" style="46"/>
  </cols>
  <sheetData>
    <row r="1" spans="2:7" ht="6" customHeight="1" thickBot="1"/>
    <row r="2" spans="2:7" ht="25.5" customHeight="1">
      <c r="B2" s="124" t="s">
        <v>21</v>
      </c>
      <c r="C2" s="193">
        <f>'Base d''asta'!C2</f>
        <v>60</v>
      </c>
    </row>
    <row r="3" spans="2:7" ht="25.5" customHeight="1" thickBot="1">
      <c r="B3" s="123" t="s">
        <v>24</v>
      </c>
      <c r="C3" s="194">
        <f>C12+D12*C2</f>
        <v>0</v>
      </c>
    </row>
    <row r="4" spans="2:7" ht="25.5" customHeight="1">
      <c r="B4" s="47"/>
      <c r="D4" s="48"/>
    </row>
    <row r="5" spans="2:7" ht="25.5" customHeight="1" thickBot="1"/>
    <row r="6" spans="2:7" ht="26.25" thickBot="1">
      <c r="B6" s="107"/>
      <c r="C6" s="96" t="s">
        <v>25</v>
      </c>
      <c r="D6" s="97" t="s">
        <v>438</v>
      </c>
    </row>
    <row r="7" spans="2:7" ht="25.5" customHeight="1">
      <c r="B7" s="110" t="s">
        <v>439</v>
      </c>
      <c r="C7" s="111">
        <f>SUM('Riepilogo Fabbisogni'!$W$3:$W$22)</f>
        <v>0</v>
      </c>
      <c r="D7" s="112">
        <f>SUM('Riepilogo Fabbisogni'!$X$3:$X$22)</f>
        <v>0</v>
      </c>
      <c r="G7" s="108"/>
    </row>
    <row r="8" spans="2:7" ht="25.5" customHeight="1">
      <c r="B8" s="113" t="s">
        <v>440</v>
      </c>
      <c r="C8" s="109">
        <f>SUM('Riepilogo Fabbisogni'!$M$26:$M$27)</f>
        <v>0</v>
      </c>
      <c r="D8" s="109">
        <f>SUM('Riepilogo Fabbisogni'!$N$26:$N$27)</f>
        <v>0</v>
      </c>
    </row>
    <row r="9" spans="2:7" ht="25.5" customHeight="1">
      <c r="B9" s="115" t="s">
        <v>441</v>
      </c>
      <c r="C9" s="109">
        <f>SUM('Riepilogo Fabbisogni'!$V$31:$V$51)</f>
        <v>0</v>
      </c>
      <c r="D9" s="109">
        <f>SUM('Riepilogo Fabbisogni'!$W$31:$W$51)</f>
        <v>0</v>
      </c>
    </row>
    <row r="10" spans="2:7" ht="25.5" customHeight="1">
      <c r="B10" s="116" t="s">
        <v>442</v>
      </c>
      <c r="C10" s="109">
        <f>'Riepilogo Fabbisogni'!$S$55+'Riepilogo Fabbisogni'!$O$59+SUM('Riepilogo Fabbisogni'!$N$63:'Riepilogo Fabbisogni'!$N$71)+SUM('Riepilogo Fabbisogni'!$R$75:$R$94)+'Riepilogo Fabbisogni'!$R$98+SUM('Riepilogo Fabbisogni'!$N$102:$N$106)</f>
        <v>0</v>
      </c>
      <c r="D10" s="114">
        <f>'Riepilogo Fabbisogni'!$T$55+'Riepilogo Fabbisogni'!$P$59+SUM('Riepilogo Fabbisogni'!$O$63:'Riepilogo Fabbisogni'!$O$71)+SUM('Riepilogo Fabbisogni'!S$75:$S$94)+'Riepilogo Fabbisogni'!$S$98+SUM('Riepilogo Fabbisogni'!$O$102:$O$106)</f>
        <v>0</v>
      </c>
    </row>
    <row r="11" spans="2:7" ht="25.5" customHeight="1">
      <c r="B11" s="117" t="s">
        <v>443</v>
      </c>
      <c r="C11" s="109">
        <f>SUM('Riepilogo Fabbisogni'!$H$110:$H$130)+SUM('Riepilogo Fabbisogni'!$H$134:$H$138)</f>
        <v>0</v>
      </c>
      <c r="D11" s="189"/>
    </row>
    <row r="12" spans="2:7" ht="25.5" customHeight="1" thickBot="1">
      <c r="B12" s="118" t="s">
        <v>26</v>
      </c>
      <c r="C12" s="119">
        <f>SUM(C7:C11)</f>
        <v>0</v>
      </c>
      <c r="D12" s="120">
        <f>SUM(D7:D11)</f>
        <v>0</v>
      </c>
    </row>
  </sheetData>
  <sheetProtection sheet="1" objects="1" scenarios="1"/>
  <phoneticPr fontId="21" type="noConversion"/>
  <dataValidations count="1">
    <dataValidation type="whole" allowBlank="1" showErrorMessage="1" sqref="C4">
      <formula1>0</formula1>
      <formula2>12</formula2>
    </dataValidation>
  </dataValidations>
  <pageMargins left="0.74791666666666667" right="0.74791666666666667" top="0.98402777777777772" bottom="0.98402777777777772" header="0.51180555555555551" footer="0.51180555555555551"/>
  <pageSetup paperSize="9" firstPageNumber="0"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sheetPr>
    <tabColor indexed="27"/>
  </sheetPr>
  <dimension ref="B1:L60"/>
  <sheetViews>
    <sheetView showGridLines="0" topLeftCell="A19" workbookViewId="0">
      <selection activeCell="R21" sqref="R21"/>
    </sheetView>
  </sheetViews>
  <sheetFormatPr defaultColWidth="9.28515625" defaultRowHeight="11.25"/>
  <cols>
    <col min="1" max="1" width="0.7109375" style="1" customWidth="1"/>
    <col min="2" max="2" width="6.28515625" style="1" customWidth="1"/>
    <col min="3" max="3" width="38.28515625" style="1" bestFit="1" customWidth="1"/>
    <col min="4" max="4" width="15.7109375" style="1" customWidth="1"/>
    <col min="5" max="5" width="8.28515625" style="1" customWidth="1"/>
    <col min="6" max="6" width="6.5703125" style="1" customWidth="1"/>
    <col min="7" max="8" width="16.7109375" style="1" customWidth="1"/>
    <col min="9" max="11" width="12.5703125" style="1" customWidth="1"/>
    <col min="12" max="12" width="11.28515625" style="1" customWidth="1"/>
    <col min="13" max="13" width="0.7109375" style="1" customWidth="1"/>
    <col min="14" max="16384" width="9.28515625" style="1"/>
  </cols>
  <sheetData>
    <row r="1" spans="2:12" ht="12" thickBot="1"/>
    <row r="2" spans="2:12" ht="16.5" customHeight="1" thickBot="1">
      <c r="B2" s="293" t="s">
        <v>2</v>
      </c>
      <c r="C2" s="293"/>
      <c r="D2" s="293"/>
      <c r="E2" s="293"/>
      <c r="F2" s="293"/>
      <c r="G2" s="293"/>
      <c r="H2" s="293"/>
      <c r="I2" s="293"/>
      <c r="J2" s="293"/>
      <c r="K2" s="293"/>
      <c r="L2" s="293"/>
    </row>
    <row r="3" spans="2:12" ht="15.75" customHeight="1" thickBot="1">
      <c r="B3" s="293"/>
      <c r="C3" s="293"/>
      <c r="D3" s="293"/>
      <c r="E3" s="293"/>
      <c r="F3" s="293"/>
      <c r="G3" s="293"/>
      <c r="H3" s="293"/>
      <c r="I3" s="293"/>
      <c r="J3" s="293"/>
      <c r="K3" s="293"/>
      <c r="L3" s="293"/>
    </row>
    <row r="4" spans="2:12" ht="12.75" customHeight="1" thickBot="1">
      <c r="B4" s="293"/>
      <c r="C4" s="293"/>
      <c r="D4" s="293"/>
      <c r="E4" s="293"/>
      <c r="F4" s="293"/>
      <c r="G4" s="293"/>
      <c r="H4" s="293"/>
      <c r="I4" s="293"/>
      <c r="J4" s="293"/>
      <c r="K4" s="293"/>
      <c r="L4" s="293"/>
    </row>
    <row r="5" spans="2:12" ht="12.75" customHeight="1" thickBot="1">
      <c r="B5" s="293"/>
      <c r="C5" s="293"/>
      <c r="D5" s="293"/>
      <c r="E5" s="293"/>
      <c r="F5" s="293"/>
      <c r="G5" s="293"/>
      <c r="H5" s="293"/>
      <c r="I5" s="293"/>
      <c r="J5" s="293"/>
      <c r="K5" s="293"/>
      <c r="L5" s="293"/>
    </row>
    <row r="6" spans="2:12" ht="13.5" customHeight="1">
      <c r="B6" s="20"/>
      <c r="C6" s="21"/>
      <c r="D6" s="21"/>
      <c r="E6" s="21"/>
      <c r="F6" s="21"/>
      <c r="G6" s="21"/>
      <c r="H6" s="21"/>
      <c r="I6" s="21"/>
      <c r="J6" s="21"/>
      <c r="K6" s="21"/>
      <c r="L6" s="22"/>
    </row>
    <row r="7" spans="2:12" ht="16.5" thickBot="1">
      <c r="B7" s="20"/>
      <c r="C7" s="23" t="s">
        <v>3</v>
      </c>
      <c r="D7" s="24"/>
      <c r="E7" s="24"/>
      <c r="F7" s="24"/>
      <c r="G7" s="24"/>
      <c r="H7" s="24"/>
      <c r="I7" s="24"/>
      <c r="J7" s="24"/>
      <c r="K7" s="24"/>
      <c r="L7" s="22"/>
    </row>
    <row r="8" spans="2:12" ht="15.75" thickBot="1">
      <c r="B8" s="20"/>
      <c r="C8" s="294" t="s">
        <v>586</v>
      </c>
      <c r="D8" s="294"/>
      <c r="E8" s="294"/>
      <c r="F8" s="294"/>
      <c r="G8" s="294"/>
      <c r="H8" s="294"/>
      <c r="I8" s="294"/>
      <c r="J8" s="294"/>
      <c r="K8" s="24"/>
      <c r="L8" s="22"/>
    </row>
    <row r="9" spans="2:12" ht="15">
      <c r="B9" s="20"/>
      <c r="C9" s="24"/>
      <c r="D9" s="24"/>
      <c r="E9" s="24"/>
      <c r="F9" s="24"/>
      <c r="G9" s="24"/>
      <c r="H9" s="24"/>
      <c r="I9" s="24"/>
      <c r="J9" s="24"/>
      <c r="K9" s="24"/>
      <c r="L9" s="22"/>
    </row>
    <row r="10" spans="2:12" ht="15.75" thickBot="1">
      <c r="B10" s="20"/>
      <c r="C10" s="25" t="s">
        <v>4</v>
      </c>
      <c r="D10" s="24"/>
      <c r="E10" s="24"/>
      <c r="F10" s="24"/>
      <c r="G10" s="24"/>
      <c r="H10" s="24"/>
      <c r="I10" s="24"/>
      <c r="J10" s="24"/>
      <c r="K10" s="21"/>
      <c r="L10" s="22"/>
    </row>
    <row r="11" spans="2:12" ht="13.5" thickBot="1">
      <c r="B11" s="20"/>
      <c r="C11" s="26" t="s">
        <v>5</v>
      </c>
      <c r="D11" s="295" t="s">
        <v>592</v>
      </c>
      <c r="E11" s="295"/>
      <c r="F11" s="295"/>
      <c r="G11" s="295"/>
      <c r="H11" s="295"/>
      <c r="I11" s="295"/>
      <c r="J11" s="295"/>
      <c r="K11" s="21"/>
      <c r="L11" s="22"/>
    </row>
    <row r="12" spans="2:12" ht="13.5" thickBot="1">
      <c r="B12" s="20"/>
      <c r="C12" s="26" t="s">
        <v>6</v>
      </c>
      <c r="D12" s="296" t="s">
        <v>593</v>
      </c>
      <c r="E12" s="296"/>
      <c r="F12" s="296"/>
      <c r="G12" s="296"/>
      <c r="H12" s="296"/>
      <c r="I12" s="296"/>
      <c r="J12" s="296"/>
      <c r="K12" s="21"/>
      <c r="L12" s="22"/>
    </row>
    <row r="13" spans="2:12" ht="13.5" thickBot="1">
      <c r="B13" s="20"/>
      <c r="C13" s="26" t="s">
        <v>7</v>
      </c>
      <c r="D13" s="297" t="s">
        <v>594</v>
      </c>
      <c r="E13" s="295"/>
      <c r="F13" s="295"/>
      <c r="G13" s="295"/>
      <c r="H13" s="295"/>
      <c r="I13" s="295"/>
      <c r="J13" s="295"/>
      <c r="K13" s="21"/>
      <c r="L13" s="22"/>
    </row>
    <row r="14" spans="2:12" ht="13.5" thickBot="1">
      <c r="B14" s="20"/>
      <c r="C14" s="26" t="s">
        <v>8</v>
      </c>
      <c r="D14" s="295">
        <v>3498398271</v>
      </c>
      <c r="E14" s="295"/>
      <c r="F14" s="295"/>
      <c r="G14" s="295"/>
      <c r="H14" s="295"/>
      <c r="I14" s="295"/>
      <c r="J14" s="295"/>
      <c r="K14" s="21"/>
      <c r="L14" s="22"/>
    </row>
    <row r="15" spans="2:12" ht="13.5" thickBot="1">
      <c r="B15" s="20"/>
      <c r="C15" s="26" t="s">
        <v>9</v>
      </c>
      <c r="D15" s="295"/>
      <c r="E15" s="295"/>
      <c r="F15" s="295"/>
      <c r="G15" s="295"/>
      <c r="H15" s="295"/>
      <c r="I15" s="295"/>
      <c r="J15" s="295"/>
      <c r="K15" s="21"/>
      <c r="L15" s="22"/>
    </row>
    <row r="16" spans="2:12" ht="15.75" thickBot="1">
      <c r="B16" s="27"/>
      <c r="C16" s="29"/>
      <c r="D16" s="29"/>
      <c r="E16" s="29"/>
      <c r="F16" s="29"/>
      <c r="G16" s="29"/>
      <c r="H16" s="29"/>
      <c r="I16" s="29"/>
      <c r="J16" s="29"/>
      <c r="K16" s="29"/>
      <c r="L16" s="30"/>
    </row>
    <row r="17" spans="2:12" ht="15.75" thickBot="1">
      <c r="C17" s="15"/>
      <c r="D17" s="15"/>
      <c r="E17" s="15"/>
      <c r="F17" s="15"/>
      <c r="G17" s="15"/>
      <c r="H17" s="15"/>
      <c r="I17" s="15"/>
      <c r="J17" s="15"/>
      <c r="K17" s="15"/>
    </row>
    <row r="18" spans="2:12">
      <c r="B18" s="31"/>
      <c r="C18" s="32"/>
      <c r="D18" s="32"/>
      <c r="E18" s="32"/>
      <c r="F18" s="32"/>
      <c r="G18" s="32"/>
      <c r="H18" s="32"/>
      <c r="I18" s="32"/>
      <c r="J18" s="32"/>
      <c r="K18" s="32"/>
      <c r="L18" s="33"/>
    </row>
    <row r="19" spans="2:12">
      <c r="B19" s="20"/>
      <c r="C19" s="21"/>
      <c r="D19" s="21"/>
      <c r="E19" s="21"/>
      <c r="F19" s="21"/>
      <c r="G19" s="21"/>
      <c r="H19" s="21"/>
      <c r="I19" s="21"/>
      <c r="J19" s="21"/>
      <c r="K19" s="21"/>
      <c r="L19" s="22"/>
    </row>
    <row r="20" spans="2:12" ht="15.75">
      <c r="B20" s="20"/>
      <c r="C20" s="34" t="s">
        <v>10</v>
      </c>
      <c r="D20" s="21"/>
      <c r="E20" s="21"/>
      <c r="F20" s="21"/>
      <c r="G20" s="21"/>
      <c r="H20" s="21"/>
      <c r="I20" s="21"/>
      <c r="J20" s="21"/>
      <c r="K20" s="21"/>
      <c r="L20" s="22"/>
    </row>
    <row r="21" spans="2:12" ht="12" thickBot="1">
      <c r="B21" s="20"/>
      <c r="C21" s="21"/>
      <c r="D21" s="21"/>
      <c r="E21" s="21"/>
      <c r="F21" s="21"/>
      <c r="G21" s="21"/>
      <c r="H21" s="21"/>
      <c r="I21" s="21"/>
      <c r="J21" s="21"/>
      <c r="K21" s="21"/>
      <c r="L21" s="22"/>
    </row>
    <row r="22" spans="2:12" ht="11.25" customHeight="1" thickBot="1">
      <c r="B22" s="20"/>
      <c r="C22" s="305" t="s">
        <v>598</v>
      </c>
      <c r="D22" s="306"/>
      <c r="E22" s="306"/>
      <c r="F22" s="306"/>
      <c r="G22" s="306"/>
      <c r="H22" s="306"/>
      <c r="I22" s="306"/>
      <c r="J22" s="306"/>
      <c r="K22" s="306"/>
      <c r="L22" s="22"/>
    </row>
    <row r="23" spans="2:12" ht="11.25" customHeight="1" thickBot="1">
      <c r="B23" s="20"/>
      <c r="C23" s="306"/>
      <c r="D23" s="306"/>
      <c r="E23" s="306"/>
      <c r="F23" s="306"/>
      <c r="G23" s="306"/>
      <c r="H23" s="306"/>
      <c r="I23" s="306"/>
      <c r="J23" s="306"/>
      <c r="K23" s="306"/>
      <c r="L23" s="22"/>
    </row>
    <row r="24" spans="2:12" ht="11.25" customHeight="1" thickBot="1">
      <c r="B24" s="20"/>
      <c r="C24" s="306"/>
      <c r="D24" s="306"/>
      <c r="E24" s="306"/>
      <c r="F24" s="306"/>
      <c r="G24" s="306"/>
      <c r="H24" s="306"/>
      <c r="I24" s="306"/>
      <c r="J24" s="306"/>
      <c r="K24" s="306"/>
      <c r="L24" s="22"/>
    </row>
    <row r="25" spans="2:12" ht="11.25" customHeight="1" thickBot="1">
      <c r="B25" s="20"/>
      <c r="C25" s="306"/>
      <c r="D25" s="306"/>
      <c r="E25" s="306"/>
      <c r="F25" s="306"/>
      <c r="G25" s="306"/>
      <c r="H25" s="306"/>
      <c r="I25" s="306"/>
      <c r="J25" s="306"/>
      <c r="K25" s="306"/>
      <c r="L25" s="22"/>
    </row>
    <row r="26" spans="2:12" ht="11.25" customHeight="1" thickBot="1">
      <c r="B26" s="20"/>
      <c r="C26" s="306"/>
      <c r="D26" s="306"/>
      <c r="E26" s="306"/>
      <c r="F26" s="306"/>
      <c r="G26" s="306"/>
      <c r="H26" s="306"/>
      <c r="I26" s="306"/>
      <c r="J26" s="306"/>
      <c r="K26" s="306"/>
      <c r="L26" s="22"/>
    </row>
    <row r="27" spans="2:12" s="14" customFormat="1" ht="11.25" customHeight="1" thickBot="1">
      <c r="B27" s="20"/>
      <c r="C27" s="306"/>
      <c r="D27" s="306"/>
      <c r="E27" s="306"/>
      <c r="F27" s="306"/>
      <c r="G27" s="306"/>
      <c r="H27" s="306"/>
      <c r="I27" s="306"/>
      <c r="J27" s="306"/>
      <c r="K27" s="306"/>
      <c r="L27" s="22"/>
    </row>
    <row r="28" spans="2:12" s="15" customFormat="1" ht="15.75" thickBot="1">
      <c r="B28" s="20"/>
      <c r="C28" s="306"/>
      <c r="D28" s="306"/>
      <c r="E28" s="306"/>
      <c r="F28" s="306"/>
      <c r="G28" s="306"/>
      <c r="H28" s="306"/>
      <c r="I28" s="306"/>
      <c r="J28" s="306"/>
      <c r="K28" s="306"/>
      <c r="L28" s="22"/>
    </row>
    <row r="29" spans="2:12" ht="12.75" customHeight="1" thickBot="1">
      <c r="B29" s="20"/>
      <c r="C29" s="306"/>
      <c r="D29" s="306"/>
      <c r="E29" s="306"/>
      <c r="F29" s="306"/>
      <c r="G29" s="306"/>
      <c r="H29" s="306"/>
      <c r="I29" s="306"/>
      <c r="J29" s="306"/>
      <c r="K29" s="306"/>
      <c r="L29" s="22"/>
    </row>
    <row r="30" spans="2:12" ht="11.25" customHeight="1" thickBot="1">
      <c r="B30" s="20"/>
      <c r="C30" s="306"/>
      <c r="D30" s="306"/>
      <c r="E30" s="306"/>
      <c r="F30" s="306"/>
      <c r="G30" s="306"/>
      <c r="H30" s="306"/>
      <c r="I30" s="306"/>
      <c r="J30" s="306"/>
      <c r="K30" s="306"/>
      <c r="L30" s="22"/>
    </row>
    <row r="31" spans="2:12" ht="11.25" customHeight="1" thickBot="1">
      <c r="B31" s="20"/>
      <c r="C31" s="306"/>
      <c r="D31" s="306"/>
      <c r="E31" s="306"/>
      <c r="F31" s="306"/>
      <c r="G31" s="306"/>
      <c r="H31" s="306"/>
      <c r="I31" s="306"/>
      <c r="J31" s="306"/>
      <c r="K31" s="306"/>
      <c r="L31" s="22"/>
    </row>
    <row r="32" spans="2:12" ht="11.25" customHeight="1" thickBot="1">
      <c r="B32" s="20"/>
      <c r="C32" s="306"/>
      <c r="D32" s="306"/>
      <c r="E32" s="306"/>
      <c r="F32" s="306"/>
      <c r="G32" s="306"/>
      <c r="H32" s="306"/>
      <c r="I32" s="306"/>
      <c r="J32" s="306"/>
      <c r="K32" s="306"/>
      <c r="L32" s="22"/>
    </row>
    <row r="33" spans="2:12" ht="12" customHeight="1" thickBot="1">
      <c r="B33" s="20"/>
      <c r="C33" s="306"/>
      <c r="D33" s="306"/>
      <c r="E33" s="306"/>
      <c r="F33" s="306"/>
      <c r="G33" s="306"/>
      <c r="H33" s="306"/>
      <c r="I33" s="306"/>
      <c r="J33" s="306"/>
      <c r="K33" s="306"/>
      <c r="L33" s="22"/>
    </row>
    <row r="34" spans="2:12" ht="12" thickBot="1">
      <c r="B34" s="27"/>
      <c r="C34" s="28"/>
      <c r="D34" s="28"/>
      <c r="E34" s="28"/>
      <c r="F34" s="28"/>
      <c r="G34" s="28"/>
      <c r="H34" s="28"/>
      <c r="I34" s="28"/>
      <c r="J34" s="28"/>
      <c r="K34" s="28"/>
      <c r="L34" s="30"/>
    </row>
    <row r="37" spans="2:12" ht="16.5" customHeight="1" thickBot="1">
      <c r="B37" s="293" t="s">
        <v>11</v>
      </c>
      <c r="C37" s="293"/>
      <c r="D37" s="293"/>
      <c r="E37" s="293"/>
      <c r="F37" s="293"/>
      <c r="G37" s="293"/>
      <c r="H37" s="293"/>
      <c r="I37" s="293"/>
      <c r="J37" s="293"/>
      <c r="K37" s="293"/>
      <c r="L37" s="293"/>
    </row>
    <row r="38" spans="2:12" ht="12.75" customHeight="1" thickBot="1">
      <c r="B38" s="300" t="s">
        <v>12</v>
      </c>
      <c r="C38" s="300"/>
      <c r="D38" s="300"/>
      <c r="E38" s="300"/>
      <c r="F38" s="300"/>
      <c r="G38" s="301" t="s">
        <v>13</v>
      </c>
      <c r="H38" s="301"/>
      <c r="I38" s="301"/>
      <c r="J38" s="301"/>
      <c r="K38" s="301"/>
      <c r="L38" s="302" t="s">
        <v>14</v>
      </c>
    </row>
    <row r="39" spans="2:12" ht="12.75" customHeight="1" thickBot="1">
      <c r="B39" s="303" t="s">
        <v>15</v>
      </c>
      <c r="C39" s="307" t="s">
        <v>16</v>
      </c>
      <c r="D39" s="307" t="s">
        <v>17</v>
      </c>
      <c r="E39" s="298" t="s">
        <v>18</v>
      </c>
      <c r="F39" s="292" t="s">
        <v>19</v>
      </c>
      <c r="G39" s="299" t="s">
        <v>5</v>
      </c>
      <c r="H39" s="298" t="s">
        <v>20</v>
      </c>
      <c r="I39" s="298" t="s">
        <v>7</v>
      </c>
      <c r="J39" s="298" t="s">
        <v>8</v>
      </c>
      <c r="K39" s="292" t="s">
        <v>9</v>
      </c>
      <c r="L39" s="302"/>
    </row>
    <row r="40" spans="2:12" ht="13.5" customHeight="1" thickBot="1">
      <c r="B40" s="304"/>
      <c r="C40" s="308"/>
      <c r="D40" s="309"/>
      <c r="E40" s="298"/>
      <c r="F40" s="292"/>
      <c r="G40" s="299"/>
      <c r="H40" s="298"/>
      <c r="I40" s="298"/>
      <c r="J40" s="298"/>
      <c r="K40" s="292"/>
      <c r="L40" s="302"/>
    </row>
    <row r="41" spans="2:12" ht="12.75">
      <c r="B41" s="224">
        <v>1</v>
      </c>
      <c r="C41" s="286" t="s">
        <v>588</v>
      </c>
      <c r="D41" s="288" t="s">
        <v>590</v>
      </c>
      <c r="E41" s="35" t="s">
        <v>591</v>
      </c>
      <c r="F41" s="221">
        <v>73019</v>
      </c>
      <c r="G41" s="36" t="s">
        <v>592</v>
      </c>
      <c r="H41" s="37" t="s">
        <v>595</v>
      </c>
      <c r="I41" s="290" t="s">
        <v>594</v>
      </c>
      <c r="J41" s="35"/>
      <c r="K41" s="38"/>
      <c r="L41" s="39"/>
    </row>
    <row r="42" spans="2:12" ht="12.75">
      <c r="B42" s="225">
        <v>2</v>
      </c>
      <c r="C42" s="287" t="s">
        <v>589</v>
      </c>
      <c r="D42" s="289" t="s">
        <v>590</v>
      </c>
      <c r="E42" s="35" t="s">
        <v>591</v>
      </c>
      <c r="F42" s="221">
        <v>73019</v>
      </c>
      <c r="G42" s="36" t="s">
        <v>596</v>
      </c>
      <c r="H42" s="37" t="s">
        <v>597</v>
      </c>
      <c r="I42" s="35"/>
      <c r="J42" s="35"/>
      <c r="K42" s="38"/>
      <c r="L42" s="40"/>
    </row>
    <row r="43" spans="2:12" ht="12.75">
      <c r="B43" s="225">
        <v>3</v>
      </c>
      <c r="C43" s="227"/>
      <c r="D43" s="228"/>
      <c r="E43" s="35"/>
      <c r="F43" s="221"/>
      <c r="G43" s="36"/>
      <c r="H43" s="37"/>
      <c r="I43" s="35"/>
      <c r="J43" s="35"/>
      <c r="K43" s="38"/>
      <c r="L43" s="40"/>
    </row>
    <row r="44" spans="2:12" ht="12.75">
      <c r="B44" s="225">
        <v>4</v>
      </c>
      <c r="C44" s="227"/>
      <c r="D44" s="228"/>
      <c r="E44" s="35"/>
      <c r="F44" s="221"/>
      <c r="G44" s="36"/>
      <c r="H44" s="37"/>
      <c r="I44" s="35"/>
      <c r="J44" s="35"/>
      <c r="K44" s="38"/>
      <c r="L44" s="40"/>
    </row>
    <row r="45" spans="2:12" ht="12.75">
      <c r="B45" s="225">
        <v>5</v>
      </c>
      <c r="C45" s="227"/>
      <c r="D45" s="228"/>
      <c r="E45" s="35"/>
      <c r="F45" s="221"/>
      <c r="G45" s="41"/>
      <c r="H45" s="37"/>
      <c r="I45" s="35"/>
      <c r="J45" s="35"/>
      <c r="K45" s="220"/>
      <c r="L45" s="40"/>
    </row>
    <row r="46" spans="2:12" ht="12.75">
      <c r="B46" s="225">
        <v>6</v>
      </c>
      <c r="C46" s="227"/>
      <c r="D46" s="228"/>
      <c r="E46" s="35"/>
      <c r="F46" s="221"/>
      <c r="G46" s="41"/>
      <c r="H46" s="37"/>
      <c r="I46" s="35"/>
      <c r="J46" s="35"/>
      <c r="K46" s="42"/>
      <c r="L46" s="40"/>
    </row>
    <row r="47" spans="2:12" ht="12.75">
      <c r="B47" s="225">
        <v>7</v>
      </c>
      <c r="C47" s="227"/>
      <c r="D47" s="228"/>
      <c r="E47" s="35"/>
      <c r="F47" s="221"/>
      <c r="G47" s="41"/>
      <c r="H47" s="37"/>
      <c r="I47" s="37"/>
      <c r="J47" s="37"/>
      <c r="K47" s="42"/>
      <c r="L47" s="40"/>
    </row>
    <row r="48" spans="2:12" ht="12.75">
      <c r="B48" s="225">
        <v>8</v>
      </c>
      <c r="C48" s="227"/>
      <c r="D48" s="228"/>
      <c r="E48" s="35"/>
      <c r="F48" s="222"/>
      <c r="G48" s="41"/>
      <c r="H48" s="37"/>
      <c r="I48" s="37"/>
      <c r="J48" s="37"/>
      <c r="K48" s="42"/>
      <c r="L48" s="40"/>
    </row>
    <row r="49" spans="2:12" ht="12.75">
      <c r="B49" s="225">
        <v>9</v>
      </c>
      <c r="C49" s="227"/>
      <c r="D49" s="228"/>
      <c r="E49" s="35"/>
      <c r="F49" s="222"/>
      <c r="G49" s="41"/>
      <c r="H49" s="37"/>
      <c r="I49" s="37"/>
      <c r="J49" s="37"/>
      <c r="K49" s="42"/>
      <c r="L49" s="40"/>
    </row>
    <row r="50" spans="2:12" ht="12.75">
      <c r="B50" s="225">
        <v>10</v>
      </c>
      <c r="C50" s="227"/>
      <c r="D50" s="228"/>
      <c r="E50" s="35"/>
      <c r="F50" s="222"/>
      <c r="G50" s="41"/>
      <c r="H50" s="37"/>
      <c r="I50" s="37"/>
      <c r="J50" s="37"/>
      <c r="K50" s="42"/>
      <c r="L50" s="40"/>
    </row>
    <row r="51" spans="2:12" ht="12.75">
      <c r="B51" s="225">
        <v>11</v>
      </c>
      <c r="C51" s="227"/>
      <c r="D51" s="228"/>
      <c r="E51" s="35"/>
      <c r="F51" s="222"/>
      <c r="G51" s="41"/>
      <c r="H51" s="37"/>
      <c r="I51" s="37"/>
      <c r="J51" s="37"/>
      <c r="K51" s="42"/>
      <c r="L51" s="40"/>
    </row>
    <row r="52" spans="2:12" ht="12.75">
      <c r="B52" s="225">
        <v>12</v>
      </c>
      <c r="C52" s="227"/>
      <c r="D52" s="228"/>
      <c r="E52" s="35"/>
      <c r="F52" s="222"/>
      <c r="G52" s="41"/>
      <c r="H52" s="37"/>
      <c r="I52" s="37"/>
      <c r="J52" s="37"/>
      <c r="K52" s="42"/>
      <c r="L52" s="40"/>
    </row>
    <row r="53" spans="2:12" ht="12.75">
      <c r="B53" s="225">
        <v>13</v>
      </c>
      <c r="C53" s="227"/>
      <c r="D53" s="228"/>
      <c r="E53" s="35"/>
      <c r="F53" s="222"/>
      <c r="G53" s="41"/>
      <c r="H53" s="37"/>
      <c r="I53" s="37"/>
      <c r="J53" s="37"/>
      <c r="K53" s="42"/>
      <c r="L53" s="40"/>
    </row>
    <row r="54" spans="2:12" ht="12.75">
      <c r="B54" s="225">
        <v>14</v>
      </c>
      <c r="C54" s="227"/>
      <c r="D54" s="228"/>
      <c r="E54" s="35"/>
      <c r="F54" s="222"/>
      <c r="G54" s="41"/>
      <c r="H54" s="37"/>
      <c r="I54" s="37"/>
      <c r="J54" s="37"/>
      <c r="K54" s="42"/>
      <c r="L54" s="40"/>
    </row>
    <row r="55" spans="2:12" ht="12.75">
      <c r="B55" s="225">
        <v>15</v>
      </c>
      <c r="C55" s="227"/>
      <c r="D55" s="228"/>
      <c r="E55" s="35"/>
      <c r="F55" s="222"/>
      <c r="G55" s="41"/>
      <c r="H55" s="37"/>
      <c r="I55" s="37"/>
      <c r="J55" s="37"/>
      <c r="K55" s="42"/>
      <c r="L55" s="40"/>
    </row>
    <row r="56" spans="2:12" ht="12.75">
      <c r="B56" s="225">
        <v>16</v>
      </c>
      <c r="C56" s="227"/>
      <c r="D56" s="228"/>
      <c r="E56" s="35"/>
      <c r="F56" s="222"/>
      <c r="G56" s="41"/>
      <c r="H56" s="37"/>
      <c r="I56" s="37"/>
      <c r="J56" s="37"/>
      <c r="K56" s="42"/>
      <c r="L56" s="40"/>
    </row>
    <row r="57" spans="2:12" ht="12.75">
      <c r="B57" s="225">
        <v>17</v>
      </c>
      <c r="C57" s="227"/>
      <c r="D57" s="228"/>
      <c r="E57" s="35"/>
      <c r="F57" s="222"/>
      <c r="G57" s="41"/>
      <c r="H57" s="37"/>
      <c r="I57" s="37"/>
      <c r="J57" s="37"/>
      <c r="K57" s="42"/>
      <c r="L57" s="40"/>
    </row>
    <row r="58" spans="2:12" ht="12.75">
      <c r="B58" s="225">
        <v>18</v>
      </c>
      <c r="C58" s="227"/>
      <c r="D58" s="228"/>
      <c r="E58" s="35"/>
      <c r="F58" s="222"/>
      <c r="G58" s="41"/>
      <c r="H58" s="37"/>
      <c r="I58" s="37"/>
      <c r="J58" s="37"/>
      <c r="K58" s="42"/>
      <c r="L58" s="40"/>
    </row>
    <row r="59" spans="2:12" ht="12.75">
      <c r="B59" s="225">
        <v>19</v>
      </c>
      <c r="C59" s="227"/>
      <c r="D59" s="228"/>
      <c r="E59" s="35"/>
      <c r="F59" s="222"/>
      <c r="G59" s="41"/>
      <c r="H59" s="37"/>
      <c r="I59" s="37"/>
      <c r="J59" s="37"/>
      <c r="K59" s="42"/>
      <c r="L59" s="40"/>
    </row>
    <row r="60" spans="2:12" ht="13.5" thickBot="1">
      <c r="B60" s="226">
        <v>20</v>
      </c>
      <c r="C60" s="229"/>
      <c r="D60" s="230"/>
      <c r="E60" s="230"/>
      <c r="F60" s="231"/>
      <c r="G60" s="232"/>
      <c r="H60" s="230"/>
      <c r="I60" s="230"/>
      <c r="J60" s="230"/>
      <c r="K60" s="233"/>
      <c r="L60" s="234"/>
    </row>
  </sheetData>
  <sheetProtection password="CCF0" sheet="1" objects="1" scenarios="1"/>
  <mergeCells count="22">
    <mergeCell ref="D15:J15"/>
    <mergeCell ref="C22:K33"/>
    <mergeCell ref="C39:C40"/>
    <mergeCell ref="D39:D40"/>
    <mergeCell ref="E39:E40"/>
    <mergeCell ref="F39:F40"/>
    <mergeCell ref="K39:K40"/>
    <mergeCell ref="B2:L5"/>
    <mergeCell ref="C8:J8"/>
    <mergeCell ref="D11:J11"/>
    <mergeCell ref="D12:J12"/>
    <mergeCell ref="D13:J13"/>
    <mergeCell ref="D14:J14"/>
    <mergeCell ref="H39:H40"/>
    <mergeCell ref="I39:I40"/>
    <mergeCell ref="J39:J40"/>
    <mergeCell ref="G39:G40"/>
    <mergeCell ref="B37:L37"/>
    <mergeCell ref="B38:F38"/>
    <mergeCell ref="G38:K38"/>
    <mergeCell ref="L38:L40"/>
    <mergeCell ref="B39:B40"/>
  </mergeCells>
  <phoneticPr fontId="21" type="noConversion"/>
  <pageMargins left="0.39374999999999999" right="0.39374999999999999" top="0.78749999999999998" bottom="0.78749999999999998" header="0.51180555555555551" footer="0.51180555555555551"/>
  <pageSetup paperSize="9" firstPageNumber="0" orientation="landscape" horizontalDpi="300" verticalDpi="300" r:id="rId1"/>
  <headerFooter alignWithMargins="0"/>
  <rowBreaks count="1" manualBreakCount="1">
    <brk id="36" max="16383" man="1"/>
  </rowBreaks>
</worksheet>
</file>

<file path=xl/worksheets/sheet3.xml><?xml version="1.0" encoding="utf-8"?>
<worksheet xmlns="http://schemas.openxmlformats.org/spreadsheetml/2006/main" xmlns:r="http://schemas.openxmlformats.org/officeDocument/2006/relationships">
  <sheetPr>
    <tabColor indexed="48"/>
    <pageSetUpPr fitToPage="1"/>
  </sheetPr>
  <dimension ref="B1:AH46"/>
  <sheetViews>
    <sheetView showGridLines="0" workbookViewId="0">
      <selection activeCell="I36" sqref="I36"/>
    </sheetView>
  </sheetViews>
  <sheetFormatPr defaultColWidth="9.28515625" defaultRowHeight="12.75"/>
  <cols>
    <col min="1" max="1" width="2.5703125" style="1" customWidth="1"/>
    <col min="2" max="2" width="4.7109375" style="1" customWidth="1"/>
    <col min="3" max="3" width="41.7109375" style="49" bestFit="1" customWidth="1"/>
    <col min="4" max="4" width="12.5703125" style="1" customWidth="1"/>
    <col min="5" max="5" width="11.42578125" style="1" customWidth="1"/>
    <col min="6" max="13" width="10.5703125" style="1" customWidth="1"/>
    <col min="14" max="14" width="45.5703125" style="53" customWidth="1"/>
    <col min="15" max="15" width="24.7109375" style="43" customWidth="1"/>
    <col min="16" max="17" width="14" style="44" customWidth="1"/>
    <col min="18" max="18" width="9.28515625" style="1" customWidth="1"/>
    <col min="19" max="19" width="16.28515625" style="1" customWidth="1"/>
    <col min="20" max="22" width="9.28515625" style="1" customWidth="1"/>
    <col min="23" max="23" width="8.7109375" style="1" hidden="1" customWidth="1"/>
    <col min="24" max="24" width="11.28515625" style="1" hidden="1" customWidth="1"/>
    <col min="25" max="25" width="11" style="1" hidden="1" customWidth="1"/>
    <col min="26" max="28" width="8.7109375" style="1" hidden="1" customWidth="1"/>
    <col min="29" max="29" width="10.42578125" style="1" hidden="1" customWidth="1"/>
    <col min="30" max="34" width="8.7109375" style="1" hidden="1" customWidth="1"/>
    <col min="35" max="35" width="8.7109375" style="1" customWidth="1"/>
    <col min="36" max="16384" width="9.28515625" style="1"/>
  </cols>
  <sheetData>
    <row r="1" spans="2:33" ht="13.5" thickBot="1"/>
    <row r="2" spans="2:33" ht="26.65" customHeight="1" thickBot="1">
      <c r="B2" s="314" t="s">
        <v>23</v>
      </c>
      <c r="C2" s="315"/>
      <c r="D2" s="315" t="s">
        <v>95</v>
      </c>
      <c r="E2" s="319" t="s">
        <v>94</v>
      </c>
      <c r="F2" s="320"/>
      <c r="G2" s="320"/>
      <c r="H2" s="320"/>
      <c r="I2" s="320"/>
      <c r="J2" s="320"/>
      <c r="K2" s="320"/>
      <c r="L2" s="320"/>
      <c r="M2" s="321"/>
      <c r="N2" s="322" t="s">
        <v>96</v>
      </c>
      <c r="O2" s="311" t="s">
        <v>10</v>
      </c>
    </row>
    <row r="3" spans="2:33" s="51" customFormat="1" ht="34.15" customHeight="1">
      <c r="B3" s="316"/>
      <c r="C3" s="317"/>
      <c r="D3" s="317"/>
      <c r="E3" s="328" t="s">
        <v>76</v>
      </c>
      <c r="F3" s="328" t="s">
        <v>77</v>
      </c>
      <c r="G3" s="328" t="s">
        <v>22</v>
      </c>
      <c r="H3" s="328" t="s">
        <v>78</v>
      </c>
      <c r="I3" s="325" t="s">
        <v>85</v>
      </c>
      <c r="J3" s="326"/>
      <c r="K3" s="326"/>
      <c r="L3" s="326"/>
      <c r="M3" s="327"/>
      <c r="N3" s="323"/>
      <c r="O3" s="312"/>
      <c r="Z3" s="310" t="s">
        <v>91</v>
      </c>
      <c r="AA3" s="310"/>
      <c r="AB3" s="122"/>
    </row>
    <row r="4" spans="2:33" s="51" customFormat="1" ht="26.25" customHeight="1" thickBot="1">
      <c r="B4" s="59" t="s">
        <v>93</v>
      </c>
      <c r="C4" s="223" t="s">
        <v>16</v>
      </c>
      <c r="D4" s="318"/>
      <c r="E4" s="329"/>
      <c r="F4" s="329"/>
      <c r="G4" s="329"/>
      <c r="H4" s="329"/>
      <c r="I4" s="60" t="s">
        <v>86</v>
      </c>
      <c r="J4" s="60" t="s">
        <v>87</v>
      </c>
      <c r="K4" s="60" t="s">
        <v>88</v>
      </c>
      <c r="L4" s="60" t="s">
        <v>89</v>
      </c>
      <c r="M4" s="60" t="s">
        <v>90</v>
      </c>
      <c r="N4" s="324"/>
      <c r="O4" s="313"/>
      <c r="Z4" s="52" t="s">
        <v>92</v>
      </c>
      <c r="AA4" s="52" t="s">
        <v>86</v>
      </c>
      <c r="AF4" s="122" t="s">
        <v>503</v>
      </c>
      <c r="AG4" s="122"/>
    </row>
    <row r="5" spans="2:33" s="43" customFormat="1">
      <c r="B5" s="93">
        <v>1</v>
      </c>
      <c r="C5" s="66" t="str">
        <f>CONCATENATE(VLOOKUP(B5,'Dati generali-anagrafici'!$B$41:$D$60,3)," - ",VLOOKUP(B5,'Dati generali-anagrafici'!$B$41:$D$60,2))</f>
        <v>Trepuzzi - Municipio - Corso Garibaldi n. 10</v>
      </c>
      <c r="D5" s="128" t="s">
        <v>59</v>
      </c>
      <c r="E5" s="129" t="s">
        <v>587</v>
      </c>
      <c r="F5" s="130"/>
      <c r="G5" s="130"/>
      <c r="H5" s="130"/>
      <c r="I5" s="131">
        <v>20</v>
      </c>
      <c r="J5" s="131"/>
      <c r="K5" s="131">
        <v>20</v>
      </c>
      <c r="L5" s="131"/>
      <c r="M5" s="132"/>
      <c r="N5" s="94" t="str">
        <f>IF(D5&lt;&gt;"",IF(AND(F5="Si",VLOOKUP(D5,$X$5:$Z$46,3,FALSE)="No"),"Errore: l'affidabilità elevata non è attivabile!",IF(AND(H5&lt;&gt;"",VLOOKUP(D5,$X$5:$Z$46,3,FALSE)="No"),"Errore: il Backup non è attivabile!",IF(AND(OR(I5&lt;&gt;0,J5&lt;&gt;0,K5&lt;&gt;0,L5&lt;&gt;0,M5&lt;&gt;0),VLOOKUP(D5,$X$5:$Z$46,3,FALSE)="No"),"Errore: lo SBRI non è attivabile!", IF(I5&gt;VLOOKUP(D5,$X$5:$AA$46,4,FALSE),"Errore: N° blocchi Real Time eccessivo!",IF(SUM(I5:M5)&gt;VLOOKUP(D5,$X$5:$Z$46,3,FALSE),"Errore: N° blocchi eccessivo!","OK"))))),"")</f>
        <v>OK</v>
      </c>
      <c r="O5" s="140"/>
      <c r="V5" s="255"/>
      <c r="W5" s="256"/>
      <c r="X5" s="253" t="s">
        <v>29</v>
      </c>
      <c r="Y5" s="252" t="s">
        <v>30</v>
      </c>
      <c r="Z5" s="252">
        <v>1</v>
      </c>
      <c r="AA5" s="252">
        <v>0</v>
      </c>
      <c r="AB5" s="126" t="s">
        <v>285</v>
      </c>
      <c r="AC5" s="127" t="s">
        <v>79</v>
      </c>
      <c r="AD5" s="50" t="s">
        <v>83</v>
      </c>
      <c r="AF5" s="43" t="str">
        <f t="shared" ref="AF5:AF24" si="0">VLOOKUP(D5,X$5:AB$46,5,FALSE)</f>
        <v>-</v>
      </c>
    </row>
    <row r="6" spans="2:33" s="43" customFormat="1">
      <c r="B6" s="55">
        <v>2</v>
      </c>
      <c r="C6" s="54" t="str">
        <f>CONCATENATE(VLOOKUP(B6,'Dati generali-anagrafici'!$B$41:$D$60,3)," - ",VLOOKUP(B6,'Dati generali-anagrafici'!$B$41:$D$60,2))</f>
        <v>Trepuzzi - Polizia Locale - Via Brunetti n. 50</v>
      </c>
      <c r="D6" s="128" t="s">
        <v>73</v>
      </c>
      <c r="E6" s="133"/>
      <c r="F6" s="130"/>
      <c r="G6" s="130"/>
      <c r="H6" s="130"/>
      <c r="I6" s="134"/>
      <c r="J6" s="134"/>
      <c r="K6" s="134"/>
      <c r="L6" s="134"/>
      <c r="M6" s="135"/>
      <c r="N6" s="94" t="str">
        <f t="shared" ref="N6:N24" si="1">IF(D6&lt;&gt;"",IF(AND(F6="Si",VLOOKUP(D6,$X$5:$Z$46,3,FALSE)="No"),"Errore: l'affidabilità elevata non è attivabile!",IF(AND(H6&lt;&gt;"",VLOOKUP(D6,$X$5:$Z$46,3,FALSE)="No"),"Errore: il Backup non è attivabile!",IF(AND(OR(I6&lt;&gt;0,J6&lt;&gt;0,K6&lt;&gt;0,L6&lt;&gt;0,M6&lt;&gt;0),VLOOKUP(D6,$X$5:$Z$46,3,FALSE)="No"),"Errore: lo SBRI non è attivabile!", IF(I6&gt;VLOOKUP(D6,$X$5:$AA$46,4,FALSE),"Errore: N° blocchi Real Time eccessivo!",IF(SUM(I6:M6)&gt;VLOOKUP(D6,$X$5:$Z$46,3,FALSE),"Errore: N° blocchi eccessivo!","OK"))))),"")</f>
        <v>OK</v>
      </c>
      <c r="O6" s="141"/>
      <c r="V6" s="255"/>
      <c r="W6" s="256"/>
      <c r="X6" s="253" t="s">
        <v>31</v>
      </c>
      <c r="Y6" s="252" t="s">
        <v>30</v>
      </c>
      <c r="Z6" s="252">
        <v>1</v>
      </c>
      <c r="AA6" s="252">
        <v>0</v>
      </c>
      <c r="AB6" s="126" t="s">
        <v>286</v>
      </c>
      <c r="AC6" s="127" t="s">
        <v>80</v>
      </c>
      <c r="AD6" s="50" t="s">
        <v>84</v>
      </c>
      <c r="AF6" s="43" t="str">
        <f t="shared" si="0"/>
        <v>-</v>
      </c>
    </row>
    <row r="7" spans="2:33" s="43" customFormat="1">
      <c r="B7" s="56">
        <v>3</v>
      </c>
      <c r="C7" s="54" t="str">
        <f>CONCATENATE(VLOOKUP(B7,'Dati generali-anagrafici'!$B$41:$D$60,3)," - ",VLOOKUP(B7,'Dati generali-anagrafici'!$B$41:$D$60,2))</f>
        <v xml:space="preserve"> - </v>
      </c>
      <c r="D7" s="128"/>
      <c r="E7" s="133"/>
      <c r="F7" s="130"/>
      <c r="G7" s="130"/>
      <c r="H7" s="130"/>
      <c r="I7" s="134"/>
      <c r="J7" s="134"/>
      <c r="K7" s="134"/>
      <c r="L7" s="134"/>
      <c r="M7" s="135"/>
      <c r="N7" s="94" t="str">
        <f t="shared" si="1"/>
        <v/>
      </c>
      <c r="O7" s="141"/>
      <c r="P7" s="45"/>
      <c r="V7" s="255"/>
      <c r="W7" s="256"/>
      <c r="X7" s="253" t="s">
        <v>32</v>
      </c>
      <c r="Y7" s="252" t="s">
        <v>33</v>
      </c>
      <c r="Z7" s="252">
        <v>2</v>
      </c>
      <c r="AA7" s="252">
        <v>0</v>
      </c>
      <c r="AB7" s="126" t="s">
        <v>287</v>
      </c>
      <c r="AC7" s="127" t="s">
        <v>81</v>
      </c>
      <c r="AF7" s="43" t="e">
        <f t="shared" si="0"/>
        <v>#N/A</v>
      </c>
    </row>
    <row r="8" spans="2:33" s="43" customFormat="1">
      <c r="B8" s="56">
        <v>4</v>
      </c>
      <c r="C8" s="54" t="str">
        <f>CONCATENATE(VLOOKUP(B8,'Dati generali-anagrafici'!$B$41:$D$60,3)," - ",VLOOKUP(B8,'Dati generali-anagrafici'!$B$41:$D$60,2))</f>
        <v xml:space="preserve"> - </v>
      </c>
      <c r="D8" s="128"/>
      <c r="E8" s="133"/>
      <c r="F8" s="130"/>
      <c r="G8" s="130"/>
      <c r="H8" s="130"/>
      <c r="I8" s="134"/>
      <c r="J8" s="134"/>
      <c r="K8" s="134"/>
      <c r="L8" s="134"/>
      <c r="M8" s="135"/>
      <c r="N8" s="94" t="str">
        <f t="shared" si="1"/>
        <v/>
      </c>
      <c r="O8" s="141"/>
      <c r="P8" s="45"/>
      <c r="V8" s="255"/>
      <c r="W8" s="256"/>
      <c r="X8" s="253" t="s">
        <v>34</v>
      </c>
      <c r="Y8" s="252" t="s">
        <v>33</v>
      </c>
      <c r="Z8" s="252">
        <v>2</v>
      </c>
      <c r="AA8" s="252">
        <v>0</v>
      </c>
      <c r="AB8" s="126" t="s">
        <v>288</v>
      </c>
      <c r="AC8" s="127" t="s">
        <v>82</v>
      </c>
      <c r="AF8" s="43" t="e">
        <f t="shared" si="0"/>
        <v>#N/A</v>
      </c>
    </row>
    <row r="9" spans="2:33" s="43" customFormat="1">
      <c r="B9" s="56">
        <v>5</v>
      </c>
      <c r="C9" s="54" t="str">
        <f>CONCATENATE(VLOOKUP(B9,'Dati generali-anagrafici'!$B$41:$D$60,3)," - ",VLOOKUP(B9,'Dati generali-anagrafici'!$B$41:$D$60,2))</f>
        <v xml:space="preserve"> - </v>
      </c>
      <c r="D9" s="128"/>
      <c r="E9" s="133"/>
      <c r="F9" s="130"/>
      <c r="G9" s="130"/>
      <c r="H9" s="130"/>
      <c r="I9" s="134"/>
      <c r="J9" s="134"/>
      <c r="K9" s="134"/>
      <c r="L9" s="134"/>
      <c r="M9" s="135"/>
      <c r="N9" s="94" t="str">
        <f t="shared" si="1"/>
        <v/>
      </c>
      <c r="O9" s="141"/>
      <c r="P9" s="45"/>
      <c r="V9" s="255"/>
      <c r="W9" s="256"/>
      <c r="X9" s="253" t="s">
        <v>35</v>
      </c>
      <c r="Y9" s="252" t="s">
        <v>36</v>
      </c>
      <c r="Z9" s="252">
        <v>4</v>
      </c>
      <c r="AA9" s="252">
        <v>1</v>
      </c>
      <c r="AB9" s="126" t="s">
        <v>289</v>
      </c>
      <c r="AF9" s="43" t="e">
        <f t="shared" si="0"/>
        <v>#N/A</v>
      </c>
    </row>
    <row r="10" spans="2:33" s="43" customFormat="1">
      <c r="B10" s="56">
        <v>6</v>
      </c>
      <c r="C10" s="54" t="str">
        <f>CONCATENATE(VLOOKUP(B10,'Dati generali-anagrafici'!$B$41:$D$60,3)," - ",VLOOKUP(B10,'Dati generali-anagrafici'!$B$41:$D$60,2))</f>
        <v xml:space="preserve"> - </v>
      </c>
      <c r="D10" s="128"/>
      <c r="E10" s="133"/>
      <c r="F10" s="130"/>
      <c r="G10" s="130"/>
      <c r="H10" s="130"/>
      <c r="I10" s="134"/>
      <c r="J10" s="134"/>
      <c r="K10" s="134"/>
      <c r="L10" s="134"/>
      <c r="M10" s="135"/>
      <c r="N10" s="94" t="str">
        <f t="shared" si="1"/>
        <v/>
      </c>
      <c r="O10" s="141"/>
      <c r="P10" s="45"/>
      <c r="V10" s="255"/>
      <c r="W10" s="256"/>
      <c r="X10" s="253" t="s">
        <v>37</v>
      </c>
      <c r="Y10" s="252" t="s">
        <v>36</v>
      </c>
      <c r="Z10" s="252">
        <v>4</v>
      </c>
      <c r="AA10" s="252">
        <v>1</v>
      </c>
      <c r="AB10" s="126" t="s">
        <v>290</v>
      </c>
      <c r="AF10" s="43" t="e">
        <f t="shared" si="0"/>
        <v>#N/A</v>
      </c>
    </row>
    <row r="11" spans="2:33" s="43" customFormat="1">
      <c r="B11" s="56">
        <v>7</v>
      </c>
      <c r="C11" s="54" t="str">
        <f>CONCATENATE(VLOOKUP(B11,'Dati generali-anagrafici'!$B$41:$D$60,3)," - ",VLOOKUP(B11,'Dati generali-anagrafici'!$B$41:$D$60,2))</f>
        <v xml:space="preserve"> - </v>
      </c>
      <c r="D11" s="128"/>
      <c r="E11" s="133"/>
      <c r="F11" s="130"/>
      <c r="G11" s="130"/>
      <c r="H11" s="130"/>
      <c r="I11" s="134"/>
      <c r="J11" s="134"/>
      <c r="K11" s="134"/>
      <c r="L11" s="134"/>
      <c r="M11" s="135"/>
      <c r="N11" s="94" t="str">
        <f t="shared" si="1"/>
        <v/>
      </c>
      <c r="O11" s="141"/>
      <c r="P11" s="45"/>
      <c r="V11" s="255"/>
      <c r="W11" s="256"/>
      <c r="X11" s="253" t="s">
        <v>38</v>
      </c>
      <c r="Y11" s="252" t="s">
        <v>39</v>
      </c>
      <c r="Z11" s="252">
        <v>8</v>
      </c>
      <c r="AA11" s="252">
        <v>2</v>
      </c>
      <c r="AB11" s="126" t="s">
        <v>291</v>
      </c>
      <c r="AF11" s="43" t="e">
        <f t="shared" si="0"/>
        <v>#N/A</v>
      </c>
    </row>
    <row r="12" spans="2:33" s="43" customFormat="1">
      <c r="B12" s="56">
        <v>8</v>
      </c>
      <c r="C12" s="54" t="str">
        <f>CONCATENATE(VLOOKUP(B12,'Dati generali-anagrafici'!$B$41:$D$60,3)," - ",VLOOKUP(B12,'Dati generali-anagrafici'!$B$41:$D$60,2))</f>
        <v xml:space="preserve"> - </v>
      </c>
      <c r="D12" s="128"/>
      <c r="E12" s="133"/>
      <c r="F12" s="130"/>
      <c r="G12" s="130"/>
      <c r="H12" s="130"/>
      <c r="I12" s="134"/>
      <c r="J12" s="134"/>
      <c r="K12" s="134"/>
      <c r="L12" s="134"/>
      <c r="M12" s="135"/>
      <c r="N12" s="94" t="str">
        <f t="shared" si="1"/>
        <v/>
      </c>
      <c r="O12" s="141"/>
      <c r="P12" s="45"/>
      <c r="V12" s="255"/>
      <c r="W12" s="256"/>
      <c r="X12" s="253" t="s">
        <v>40</v>
      </c>
      <c r="Y12" s="252" t="s">
        <v>39</v>
      </c>
      <c r="Z12" s="252">
        <v>8</v>
      </c>
      <c r="AA12" s="252">
        <v>2</v>
      </c>
      <c r="AB12" s="126" t="s">
        <v>292</v>
      </c>
      <c r="AF12" s="43" t="e">
        <f t="shared" si="0"/>
        <v>#N/A</v>
      </c>
    </row>
    <row r="13" spans="2:33" s="43" customFormat="1">
      <c r="B13" s="56">
        <v>9</v>
      </c>
      <c r="C13" s="54" t="str">
        <f>CONCATENATE(VLOOKUP(B13,'Dati generali-anagrafici'!$B$41:$D$60,3)," - ",VLOOKUP(B13,'Dati generali-anagrafici'!$B$41:$D$60,2))</f>
        <v xml:space="preserve"> - </v>
      </c>
      <c r="D13" s="128"/>
      <c r="E13" s="133"/>
      <c r="F13" s="130"/>
      <c r="G13" s="130"/>
      <c r="H13" s="130"/>
      <c r="I13" s="134"/>
      <c r="J13" s="134"/>
      <c r="K13" s="134"/>
      <c r="L13" s="134"/>
      <c r="M13" s="135"/>
      <c r="N13" s="94" t="str">
        <f t="shared" si="1"/>
        <v/>
      </c>
      <c r="O13" s="141"/>
      <c r="P13" s="45"/>
      <c r="V13" s="257"/>
      <c r="W13" s="256"/>
      <c r="X13" s="254" t="s">
        <v>41</v>
      </c>
      <c r="Y13" s="252" t="s">
        <v>39</v>
      </c>
      <c r="Z13" s="252">
        <v>8</v>
      </c>
      <c r="AA13" s="252">
        <v>2</v>
      </c>
      <c r="AB13" s="126" t="s">
        <v>293</v>
      </c>
      <c r="AF13" s="43" t="e">
        <f t="shared" si="0"/>
        <v>#N/A</v>
      </c>
    </row>
    <row r="14" spans="2:33" s="43" customFormat="1">
      <c r="B14" s="56">
        <v>10</v>
      </c>
      <c r="C14" s="54" t="str">
        <f>CONCATENATE(VLOOKUP(B14,'Dati generali-anagrafici'!$B$41:$D$60,3)," - ",VLOOKUP(B14,'Dati generali-anagrafici'!$B$41:$D$60,2))</f>
        <v xml:space="preserve"> - </v>
      </c>
      <c r="D14" s="128"/>
      <c r="E14" s="133"/>
      <c r="F14" s="130"/>
      <c r="G14" s="130"/>
      <c r="H14" s="130"/>
      <c r="I14" s="134"/>
      <c r="J14" s="134"/>
      <c r="K14" s="134"/>
      <c r="L14" s="134"/>
      <c r="M14" s="135"/>
      <c r="N14" s="94" t="str">
        <f t="shared" si="1"/>
        <v/>
      </c>
      <c r="O14" s="141"/>
      <c r="P14" s="45"/>
      <c r="V14" s="257"/>
      <c r="W14" s="256"/>
      <c r="X14" s="254" t="s">
        <v>42</v>
      </c>
      <c r="Y14" s="252" t="s">
        <v>43</v>
      </c>
      <c r="Z14" s="252">
        <v>16</v>
      </c>
      <c r="AA14" s="252">
        <v>5</v>
      </c>
      <c r="AB14" s="126" t="s">
        <v>294</v>
      </c>
      <c r="AF14" s="43" t="e">
        <f t="shared" si="0"/>
        <v>#N/A</v>
      </c>
    </row>
    <row r="15" spans="2:33" s="43" customFormat="1">
      <c r="B15" s="56">
        <v>11</v>
      </c>
      <c r="C15" s="54" t="str">
        <f>CONCATENATE(VLOOKUP(B15,'Dati generali-anagrafici'!$B$41:$D$60,3)," - ",VLOOKUP(B15,'Dati generali-anagrafici'!$B$41:$D$60,2))</f>
        <v xml:space="preserve"> - </v>
      </c>
      <c r="D15" s="128"/>
      <c r="E15" s="133"/>
      <c r="F15" s="130"/>
      <c r="G15" s="130"/>
      <c r="H15" s="130"/>
      <c r="I15" s="134"/>
      <c r="J15" s="134"/>
      <c r="K15" s="134"/>
      <c r="L15" s="134"/>
      <c r="M15" s="135"/>
      <c r="N15" s="94" t="str">
        <f t="shared" si="1"/>
        <v/>
      </c>
      <c r="O15" s="141"/>
      <c r="P15" s="45"/>
      <c r="V15" s="257"/>
      <c r="W15" s="256"/>
      <c r="X15" s="254" t="s">
        <v>496</v>
      </c>
      <c r="Y15" s="252" t="s">
        <v>43</v>
      </c>
      <c r="Z15" s="252">
        <v>16</v>
      </c>
      <c r="AA15" s="252">
        <v>5</v>
      </c>
      <c r="AB15" s="126" t="s">
        <v>295</v>
      </c>
      <c r="AF15" s="43" t="e">
        <f t="shared" si="0"/>
        <v>#N/A</v>
      </c>
    </row>
    <row r="16" spans="2:33" s="43" customFormat="1">
      <c r="B16" s="56">
        <v>12</v>
      </c>
      <c r="C16" s="54" t="str">
        <f>CONCATENATE(VLOOKUP(B16,'Dati generali-anagrafici'!$B$41:$D$60,3)," - ",VLOOKUP(B16,'Dati generali-anagrafici'!$B$41:$D$60,2))</f>
        <v xml:space="preserve"> - </v>
      </c>
      <c r="D16" s="128"/>
      <c r="E16" s="133"/>
      <c r="F16" s="130"/>
      <c r="G16" s="130"/>
      <c r="H16" s="130"/>
      <c r="I16" s="134"/>
      <c r="J16" s="134"/>
      <c r="K16" s="134"/>
      <c r="L16" s="134"/>
      <c r="M16" s="135"/>
      <c r="N16" s="94" t="str">
        <f t="shared" si="1"/>
        <v/>
      </c>
      <c r="O16" s="141"/>
      <c r="P16" s="45"/>
      <c r="V16" s="257"/>
      <c r="W16" s="256"/>
      <c r="X16" s="254" t="s">
        <v>497</v>
      </c>
      <c r="Y16" s="252" t="s">
        <v>43</v>
      </c>
      <c r="Z16" s="252">
        <v>16</v>
      </c>
      <c r="AA16" s="252">
        <v>5</v>
      </c>
      <c r="AB16" s="126" t="s">
        <v>296</v>
      </c>
      <c r="AF16" s="43" t="e">
        <f t="shared" si="0"/>
        <v>#N/A</v>
      </c>
    </row>
    <row r="17" spans="2:33" s="43" customFormat="1">
      <c r="B17" s="56">
        <v>13</v>
      </c>
      <c r="C17" s="54" t="str">
        <f>CONCATENATE(VLOOKUP(B17,'Dati generali-anagrafici'!$B$41:$D$60,3)," - ",VLOOKUP(B17,'Dati generali-anagrafici'!$B$41:$D$60,2))</f>
        <v xml:space="preserve"> - </v>
      </c>
      <c r="D17" s="128"/>
      <c r="E17" s="133"/>
      <c r="F17" s="130"/>
      <c r="G17" s="130"/>
      <c r="H17" s="130"/>
      <c r="I17" s="134"/>
      <c r="J17" s="134"/>
      <c r="K17" s="134"/>
      <c r="L17" s="134"/>
      <c r="M17" s="135"/>
      <c r="N17" s="94" t="str">
        <f t="shared" si="1"/>
        <v/>
      </c>
      <c r="O17" s="141"/>
      <c r="P17" s="45"/>
      <c r="V17" s="257"/>
      <c r="W17" s="256"/>
      <c r="X17" s="254" t="s">
        <v>498</v>
      </c>
      <c r="Y17" s="252" t="s">
        <v>43</v>
      </c>
      <c r="Z17" s="252">
        <v>16</v>
      </c>
      <c r="AA17" s="252">
        <v>5</v>
      </c>
      <c r="AB17" s="126" t="s">
        <v>297</v>
      </c>
      <c r="AF17" s="43" t="e">
        <f t="shared" si="0"/>
        <v>#N/A</v>
      </c>
    </row>
    <row r="18" spans="2:33" s="43" customFormat="1">
      <c r="B18" s="56">
        <v>14</v>
      </c>
      <c r="C18" s="54" t="str">
        <f>CONCATENATE(VLOOKUP(B18,'Dati generali-anagrafici'!$B$41:$D$60,3)," - ",VLOOKUP(B18,'Dati generali-anagrafici'!$B$41:$D$60,2))</f>
        <v xml:space="preserve"> - </v>
      </c>
      <c r="D18" s="128"/>
      <c r="E18" s="133"/>
      <c r="F18" s="130"/>
      <c r="G18" s="130"/>
      <c r="H18" s="130"/>
      <c r="I18" s="134"/>
      <c r="J18" s="134"/>
      <c r="K18" s="134"/>
      <c r="L18" s="134"/>
      <c r="M18" s="135"/>
      <c r="N18" s="94" t="str">
        <f t="shared" si="1"/>
        <v/>
      </c>
      <c r="O18" s="141"/>
      <c r="P18" s="45"/>
      <c r="V18" s="255"/>
      <c r="W18" s="256"/>
      <c r="X18" s="253" t="s">
        <v>44</v>
      </c>
      <c r="Y18" s="252" t="s">
        <v>36</v>
      </c>
      <c r="Z18" s="252">
        <v>4</v>
      </c>
      <c r="AA18" s="252">
        <v>1</v>
      </c>
      <c r="AB18" s="126" t="s">
        <v>298</v>
      </c>
      <c r="AF18" s="43" t="e">
        <f t="shared" si="0"/>
        <v>#N/A</v>
      </c>
    </row>
    <row r="19" spans="2:33" s="43" customFormat="1">
      <c r="B19" s="56">
        <v>15</v>
      </c>
      <c r="C19" s="54" t="str">
        <f>CONCATENATE(VLOOKUP(B19,'Dati generali-anagrafici'!$B$41:$D$60,3)," - ",VLOOKUP(B19,'Dati generali-anagrafici'!$B$41:$D$60,2))</f>
        <v xml:space="preserve"> - </v>
      </c>
      <c r="D19" s="128"/>
      <c r="E19" s="133"/>
      <c r="F19" s="130"/>
      <c r="G19" s="130"/>
      <c r="H19" s="130"/>
      <c r="I19" s="134"/>
      <c r="J19" s="134"/>
      <c r="K19" s="134"/>
      <c r="L19" s="134"/>
      <c r="M19" s="135"/>
      <c r="N19" s="94" t="str">
        <f t="shared" si="1"/>
        <v/>
      </c>
      <c r="O19" s="141"/>
      <c r="P19" s="45"/>
      <c r="V19" s="255"/>
      <c r="W19" s="256"/>
      <c r="X19" s="253" t="s">
        <v>45</v>
      </c>
      <c r="Y19" s="252" t="s">
        <v>46</v>
      </c>
      <c r="Z19" s="252">
        <v>6</v>
      </c>
      <c r="AA19" s="252">
        <v>2</v>
      </c>
      <c r="AB19" s="126" t="s">
        <v>299</v>
      </c>
      <c r="AF19" s="43" t="e">
        <f t="shared" si="0"/>
        <v>#N/A</v>
      </c>
    </row>
    <row r="20" spans="2:33" s="43" customFormat="1">
      <c r="B20" s="56">
        <v>16</v>
      </c>
      <c r="C20" s="54" t="str">
        <f>CONCATENATE(VLOOKUP(B20,'Dati generali-anagrafici'!$B$41:$D$60,3)," - ",VLOOKUP(B20,'Dati generali-anagrafici'!$B$41:$D$60,2))</f>
        <v xml:space="preserve"> - </v>
      </c>
      <c r="D20" s="128"/>
      <c r="E20" s="133"/>
      <c r="F20" s="130"/>
      <c r="G20" s="130"/>
      <c r="H20" s="130"/>
      <c r="I20" s="134"/>
      <c r="J20" s="134"/>
      <c r="K20" s="134"/>
      <c r="L20" s="134"/>
      <c r="M20" s="135"/>
      <c r="N20" s="94" t="str">
        <f t="shared" si="1"/>
        <v/>
      </c>
      <c r="O20" s="141"/>
      <c r="P20" s="45"/>
      <c r="V20" s="255"/>
      <c r="W20" s="256"/>
      <c r="X20" s="253" t="s">
        <v>47</v>
      </c>
      <c r="Y20" s="252" t="s">
        <v>39</v>
      </c>
      <c r="Z20" s="252">
        <v>8</v>
      </c>
      <c r="AA20" s="252">
        <v>2</v>
      </c>
      <c r="AB20" s="126" t="s">
        <v>300</v>
      </c>
      <c r="AF20" s="43" t="e">
        <f t="shared" si="0"/>
        <v>#N/A</v>
      </c>
    </row>
    <row r="21" spans="2:33" s="43" customFormat="1">
      <c r="B21" s="56">
        <v>17</v>
      </c>
      <c r="C21" s="54" t="str">
        <f>CONCATENATE(VLOOKUP(B21,'Dati generali-anagrafici'!$B$41:$D$60,3)," - ",VLOOKUP(B21,'Dati generali-anagrafici'!$B$41:$D$60,2))</f>
        <v xml:space="preserve"> - </v>
      </c>
      <c r="D21" s="128"/>
      <c r="E21" s="133"/>
      <c r="F21" s="130"/>
      <c r="G21" s="130"/>
      <c r="H21" s="130"/>
      <c r="I21" s="134"/>
      <c r="J21" s="134"/>
      <c r="K21" s="134"/>
      <c r="L21" s="134"/>
      <c r="M21" s="135"/>
      <c r="N21" s="94" t="str">
        <f t="shared" si="1"/>
        <v/>
      </c>
      <c r="O21" s="141"/>
      <c r="P21" s="45"/>
      <c r="V21" s="255"/>
      <c r="W21" s="256"/>
      <c r="X21" s="253" t="s">
        <v>48</v>
      </c>
      <c r="Y21" s="252" t="s">
        <v>43</v>
      </c>
      <c r="Z21" s="252">
        <v>16</v>
      </c>
      <c r="AA21" s="252">
        <v>5</v>
      </c>
      <c r="AB21" s="126" t="s">
        <v>301</v>
      </c>
      <c r="AF21" s="43" t="e">
        <f t="shared" si="0"/>
        <v>#N/A</v>
      </c>
    </row>
    <row r="22" spans="2:33" s="43" customFormat="1">
      <c r="B22" s="56">
        <v>18</v>
      </c>
      <c r="C22" s="54" t="str">
        <f>CONCATENATE(VLOOKUP(B22,'Dati generali-anagrafici'!$B$41:$D$60,3)," - ",VLOOKUP(B22,'Dati generali-anagrafici'!$B$41:$D$60,2))</f>
        <v xml:space="preserve"> - </v>
      </c>
      <c r="D22" s="128"/>
      <c r="E22" s="133"/>
      <c r="F22" s="130"/>
      <c r="G22" s="130"/>
      <c r="H22" s="130"/>
      <c r="I22" s="134"/>
      <c r="J22" s="134"/>
      <c r="K22" s="134"/>
      <c r="L22" s="134"/>
      <c r="M22" s="135"/>
      <c r="N22" s="94" t="str">
        <f t="shared" si="1"/>
        <v/>
      </c>
      <c r="O22" s="141"/>
      <c r="P22" s="45"/>
      <c r="V22" s="255"/>
      <c r="W22" s="256"/>
      <c r="X22" s="253" t="s">
        <v>49</v>
      </c>
      <c r="Y22" s="252" t="s">
        <v>50</v>
      </c>
      <c r="Z22" s="252">
        <v>32</v>
      </c>
      <c r="AA22" s="252">
        <v>11</v>
      </c>
      <c r="AB22" s="126" t="s">
        <v>302</v>
      </c>
      <c r="AF22" s="43" t="e">
        <f t="shared" si="0"/>
        <v>#N/A</v>
      </c>
    </row>
    <row r="23" spans="2:33" s="43" customFormat="1">
      <c r="B23" s="56">
        <v>19</v>
      </c>
      <c r="C23" s="54" t="str">
        <f>CONCATENATE(VLOOKUP(B23,'Dati generali-anagrafici'!$B$41:$D$60,3)," - ",VLOOKUP(B23,'Dati generali-anagrafici'!$B$41:$D$60,2))</f>
        <v xml:space="preserve"> - </v>
      </c>
      <c r="D23" s="128"/>
      <c r="E23" s="133"/>
      <c r="F23" s="130"/>
      <c r="G23" s="130"/>
      <c r="H23" s="130"/>
      <c r="I23" s="134"/>
      <c r="J23" s="134"/>
      <c r="K23" s="134"/>
      <c r="L23" s="134"/>
      <c r="M23" s="135"/>
      <c r="N23" s="94" t="str">
        <f t="shared" si="1"/>
        <v/>
      </c>
      <c r="O23" s="141"/>
      <c r="P23" s="45"/>
      <c r="V23" s="255"/>
      <c r="W23" s="256"/>
      <c r="X23" s="253" t="s">
        <v>51</v>
      </c>
      <c r="Y23" s="252" t="s">
        <v>52</v>
      </c>
      <c r="Z23" s="252">
        <v>64</v>
      </c>
      <c r="AA23" s="252">
        <v>22</v>
      </c>
      <c r="AB23" s="126" t="s">
        <v>303</v>
      </c>
      <c r="AF23" s="43" t="e">
        <f t="shared" si="0"/>
        <v>#N/A</v>
      </c>
    </row>
    <row r="24" spans="2:33" s="43" customFormat="1" ht="13.5" thickBot="1">
      <c r="B24" s="57">
        <v>20</v>
      </c>
      <c r="C24" s="58" t="str">
        <f>CONCATENATE(VLOOKUP(B24,'Dati generali-anagrafici'!$B$41:$D$60,3)," - ",VLOOKUP(B24,'Dati generali-anagrafici'!$B$41:$D$60,2))</f>
        <v xml:space="preserve"> - </v>
      </c>
      <c r="D24" s="136"/>
      <c r="E24" s="136"/>
      <c r="F24" s="137"/>
      <c r="G24" s="137"/>
      <c r="H24" s="137"/>
      <c r="I24" s="138"/>
      <c r="J24" s="138"/>
      <c r="K24" s="138"/>
      <c r="L24" s="138"/>
      <c r="M24" s="139"/>
      <c r="N24" s="94" t="str">
        <f t="shared" si="1"/>
        <v/>
      </c>
      <c r="O24" s="142"/>
      <c r="P24" s="45"/>
      <c r="V24" s="255"/>
      <c r="W24" s="256"/>
      <c r="X24" s="253" t="s">
        <v>53</v>
      </c>
      <c r="Y24" s="252" t="s">
        <v>27</v>
      </c>
      <c r="Z24" s="252">
        <v>160</v>
      </c>
      <c r="AA24" s="252">
        <v>56</v>
      </c>
      <c r="AB24" s="50" t="s">
        <v>471</v>
      </c>
      <c r="AF24" s="43" t="e">
        <f t="shared" si="0"/>
        <v>#N/A</v>
      </c>
    </row>
    <row r="25" spans="2:33">
      <c r="V25" s="255"/>
      <c r="W25" s="256"/>
      <c r="X25" s="253" t="s">
        <v>54</v>
      </c>
      <c r="Y25" s="252" t="s">
        <v>55</v>
      </c>
      <c r="Z25" s="252">
        <v>320</v>
      </c>
      <c r="AA25" s="252">
        <v>112</v>
      </c>
      <c r="AB25" s="50" t="s">
        <v>471</v>
      </c>
      <c r="AC25" s="43"/>
      <c r="AD25" s="43"/>
      <c r="AE25" s="43"/>
      <c r="AF25" s="43"/>
    </row>
    <row r="26" spans="2:33">
      <c r="V26" s="255"/>
      <c r="W26" s="256"/>
      <c r="X26" s="253" t="s">
        <v>56</v>
      </c>
      <c r="Y26" s="252" t="s">
        <v>57</v>
      </c>
      <c r="Z26" s="252">
        <v>640</v>
      </c>
      <c r="AA26" s="252">
        <v>224</v>
      </c>
      <c r="AB26" s="50" t="s">
        <v>471</v>
      </c>
      <c r="AC26" s="43"/>
      <c r="AD26" s="43"/>
      <c r="AE26" s="43"/>
      <c r="AG26" s="43"/>
    </row>
    <row r="27" spans="2:33">
      <c r="V27" s="255"/>
      <c r="W27" s="256"/>
      <c r="X27" s="253" t="s">
        <v>58</v>
      </c>
      <c r="Y27" s="252" t="s">
        <v>480</v>
      </c>
      <c r="Z27" s="252">
        <v>1600</v>
      </c>
      <c r="AA27" s="252">
        <v>560</v>
      </c>
      <c r="AB27" s="50" t="s">
        <v>471</v>
      </c>
      <c r="AC27" s="43"/>
      <c r="AD27" s="43"/>
      <c r="AE27" s="43"/>
      <c r="AG27" s="43"/>
    </row>
    <row r="28" spans="2:33">
      <c r="V28" s="255"/>
      <c r="W28" s="256"/>
      <c r="X28" s="253" t="s">
        <v>59</v>
      </c>
      <c r="Y28" s="252" t="s">
        <v>481</v>
      </c>
      <c r="Z28" s="252">
        <v>3200</v>
      </c>
      <c r="AA28" s="252">
        <v>1120</v>
      </c>
      <c r="AB28" s="50" t="s">
        <v>471</v>
      </c>
      <c r="AC28" s="43"/>
      <c r="AD28" s="43"/>
      <c r="AE28" s="43"/>
      <c r="AG28" s="43"/>
    </row>
    <row r="29" spans="2:33">
      <c r="V29" s="255"/>
      <c r="W29" s="256"/>
      <c r="X29" s="253" t="s">
        <v>60</v>
      </c>
      <c r="Y29" s="252" t="s">
        <v>482</v>
      </c>
      <c r="Z29" s="252">
        <v>4800</v>
      </c>
      <c r="AA29" s="252">
        <v>1680</v>
      </c>
      <c r="AB29" s="50" t="s">
        <v>471</v>
      </c>
      <c r="AC29" s="43"/>
      <c r="AD29" s="43"/>
      <c r="AE29" s="43"/>
      <c r="AG29" s="43"/>
    </row>
    <row r="30" spans="2:33">
      <c r="V30" s="255"/>
      <c r="W30" s="256"/>
      <c r="X30" s="253" t="s">
        <v>61</v>
      </c>
      <c r="Y30" s="252" t="s">
        <v>483</v>
      </c>
      <c r="Z30" s="252">
        <v>9600</v>
      </c>
      <c r="AA30" s="252">
        <v>3360</v>
      </c>
      <c r="AB30" s="50" t="s">
        <v>471</v>
      </c>
      <c r="AC30" s="43"/>
      <c r="AD30" s="43"/>
      <c r="AE30" s="43"/>
      <c r="AG30" s="43"/>
    </row>
    <row r="31" spans="2:33">
      <c r="V31" s="255"/>
      <c r="W31" s="256"/>
      <c r="X31" s="253" t="s">
        <v>62</v>
      </c>
      <c r="Y31" s="252" t="s">
        <v>484</v>
      </c>
      <c r="Z31" s="252">
        <v>16000</v>
      </c>
      <c r="AA31" s="252">
        <v>5600</v>
      </c>
      <c r="AB31" s="50" t="s">
        <v>471</v>
      </c>
      <c r="AC31" s="43"/>
      <c r="AD31" s="43"/>
      <c r="AE31" s="43"/>
      <c r="AG31" s="43"/>
    </row>
    <row r="32" spans="2:33">
      <c r="V32" s="255"/>
      <c r="W32" s="256"/>
      <c r="X32" s="253" t="s">
        <v>63</v>
      </c>
      <c r="Y32" s="252" t="s">
        <v>485</v>
      </c>
      <c r="Z32" s="252">
        <v>40000</v>
      </c>
      <c r="AA32" s="252">
        <v>14000</v>
      </c>
      <c r="AB32" s="50" t="s">
        <v>471</v>
      </c>
      <c r="AC32" s="43"/>
      <c r="AD32" s="43"/>
      <c r="AE32" s="43"/>
      <c r="AG32" s="43"/>
    </row>
    <row r="33" spans="22:34">
      <c r="V33" s="255"/>
      <c r="W33" s="256"/>
      <c r="X33" s="253" t="s">
        <v>64</v>
      </c>
      <c r="Y33" s="252" t="s">
        <v>486</v>
      </c>
      <c r="Z33" s="252">
        <v>80000</v>
      </c>
      <c r="AA33" s="252">
        <v>28000</v>
      </c>
      <c r="AB33" s="50" t="s">
        <v>471</v>
      </c>
      <c r="AC33" s="43"/>
      <c r="AD33" s="43"/>
      <c r="AE33" s="43"/>
      <c r="AG33" s="43"/>
    </row>
    <row r="34" spans="22:34">
      <c r="V34" s="255"/>
      <c r="W34" s="256"/>
      <c r="X34" s="253" t="s">
        <v>65</v>
      </c>
      <c r="Y34" s="252" t="s">
        <v>487</v>
      </c>
      <c r="Z34" s="252">
        <v>160000</v>
      </c>
      <c r="AA34" s="252">
        <v>56000</v>
      </c>
      <c r="AB34" s="50" t="s">
        <v>471</v>
      </c>
      <c r="AC34" s="43"/>
      <c r="AD34" s="43"/>
      <c r="AE34" s="43"/>
      <c r="AG34" s="43"/>
    </row>
    <row r="35" spans="22:34">
      <c r="V35" s="255"/>
      <c r="W35" s="256"/>
      <c r="X35" s="253" t="s">
        <v>499</v>
      </c>
      <c r="Y35" s="252" t="s">
        <v>495</v>
      </c>
      <c r="Z35" s="252">
        <v>800</v>
      </c>
      <c r="AA35" s="252">
        <v>280</v>
      </c>
      <c r="AB35" s="50" t="s">
        <v>471</v>
      </c>
      <c r="AC35" s="43"/>
      <c r="AD35" s="43"/>
      <c r="AE35" s="43"/>
      <c r="AG35" s="43"/>
    </row>
    <row r="36" spans="22:34">
      <c r="V36" s="255"/>
      <c r="W36" s="256"/>
      <c r="X36" s="253" t="s">
        <v>500</v>
      </c>
      <c r="Y36" s="252" t="s">
        <v>495</v>
      </c>
      <c r="Z36" s="252">
        <v>800</v>
      </c>
      <c r="AA36" s="252">
        <v>280</v>
      </c>
      <c r="AB36" s="50" t="s">
        <v>471</v>
      </c>
      <c r="AC36" s="43"/>
      <c r="AD36" s="43"/>
      <c r="AE36" s="43"/>
      <c r="AG36" s="43"/>
    </row>
    <row r="37" spans="22:34">
      <c r="V37" s="255"/>
      <c r="W37" s="256"/>
      <c r="X37" s="253" t="s">
        <v>66</v>
      </c>
      <c r="Y37" s="252" t="s">
        <v>488</v>
      </c>
      <c r="Z37" s="252" t="s">
        <v>84</v>
      </c>
      <c r="AA37" s="252">
        <v>0</v>
      </c>
      <c r="AB37" s="126" t="s">
        <v>304</v>
      </c>
      <c r="AC37" s="43"/>
      <c r="AD37" s="43"/>
      <c r="AE37" s="43"/>
      <c r="AG37" s="43"/>
    </row>
    <row r="38" spans="22:34">
      <c r="V38" s="255"/>
      <c r="W38" s="256"/>
      <c r="X38" s="253" t="s">
        <v>67</v>
      </c>
      <c r="Y38" s="252" t="s">
        <v>489</v>
      </c>
      <c r="Z38" s="252" t="s">
        <v>84</v>
      </c>
      <c r="AA38" s="252">
        <v>0</v>
      </c>
      <c r="AB38" s="126" t="s">
        <v>305</v>
      </c>
      <c r="AC38" s="43"/>
      <c r="AD38" s="43"/>
      <c r="AE38" s="43"/>
      <c r="AG38" s="43"/>
    </row>
    <row r="39" spans="22:34">
      <c r="V39" s="255"/>
      <c r="W39" s="256"/>
      <c r="X39" s="253" t="s">
        <v>68</v>
      </c>
      <c r="Y39" s="252" t="s">
        <v>490</v>
      </c>
      <c r="Z39" s="252" t="s">
        <v>84</v>
      </c>
      <c r="AA39" s="252">
        <v>0</v>
      </c>
      <c r="AB39" s="126" t="s">
        <v>306</v>
      </c>
      <c r="AC39" s="43"/>
      <c r="AD39" s="43"/>
      <c r="AE39" s="43"/>
      <c r="AF39" s="43"/>
      <c r="AH39" s="43"/>
    </row>
    <row r="40" spans="22:34">
      <c r="V40" s="255"/>
      <c r="W40" s="256"/>
      <c r="X40" s="253" t="s">
        <v>69</v>
      </c>
      <c r="Y40" s="252" t="s">
        <v>491</v>
      </c>
      <c r="Z40" s="252" t="s">
        <v>84</v>
      </c>
      <c r="AA40" s="252">
        <v>0</v>
      </c>
      <c r="AB40" s="126" t="s">
        <v>307</v>
      </c>
      <c r="AC40" s="43"/>
      <c r="AD40" s="43"/>
      <c r="AE40" s="43"/>
      <c r="AF40" s="43"/>
      <c r="AH40" s="43"/>
    </row>
    <row r="41" spans="22:34">
      <c r="V41" s="255"/>
      <c r="W41" s="256"/>
      <c r="X41" s="253" t="s">
        <v>70</v>
      </c>
      <c r="Y41" s="252" t="s">
        <v>492</v>
      </c>
      <c r="Z41" s="252" t="s">
        <v>84</v>
      </c>
      <c r="AA41" s="252">
        <v>0</v>
      </c>
      <c r="AB41" s="126" t="s">
        <v>501</v>
      </c>
      <c r="AC41" s="43"/>
      <c r="AD41" s="43"/>
      <c r="AE41" s="43"/>
      <c r="AF41" s="43"/>
      <c r="AH41" s="43"/>
    </row>
    <row r="42" spans="22:34">
      <c r="V42" s="255"/>
      <c r="W42" s="256"/>
      <c r="X42" s="253" t="s">
        <v>71</v>
      </c>
      <c r="Y42" s="252" t="s">
        <v>493</v>
      </c>
      <c r="Z42" s="252" t="s">
        <v>84</v>
      </c>
      <c r="AA42" s="252">
        <v>0</v>
      </c>
      <c r="AB42" s="126" t="s">
        <v>502</v>
      </c>
      <c r="AC42" s="43"/>
      <c r="AD42" s="43"/>
      <c r="AE42" s="43"/>
      <c r="AF42" s="43"/>
      <c r="AH42" s="43"/>
    </row>
    <row r="43" spans="22:34">
      <c r="V43" s="255"/>
      <c r="W43" s="256"/>
      <c r="X43" s="253" t="s">
        <v>72</v>
      </c>
      <c r="Y43" s="252" t="s">
        <v>494</v>
      </c>
      <c r="Z43" s="252" t="s">
        <v>84</v>
      </c>
      <c r="AA43" s="252">
        <v>0</v>
      </c>
      <c r="AB43" s="50" t="s">
        <v>471</v>
      </c>
    </row>
    <row r="44" spans="22:34">
      <c r="V44" s="255"/>
      <c r="W44" s="256"/>
      <c r="X44" s="253" t="s">
        <v>73</v>
      </c>
      <c r="Y44" s="252" t="s">
        <v>27</v>
      </c>
      <c r="Z44" s="252" t="s">
        <v>84</v>
      </c>
      <c r="AA44" s="252">
        <v>0</v>
      </c>
      <c r="AB44" s="50" t="s">
        <v>471</v>
      </c>
    </row>
    <row r="45" spans="22:34">
      <c r="V45" s="255"/>
      <c r="W45" s="256"/>
      <c r="X45" s="253" t="s">
        <v>74</v>
      </c>
      <c r="Y45" s="252" t="s">
        <v>55</v>
      </c>
      <c r="Z45" s="252" t="s">
        <v>84</v>
      </c>
      <c r="AA45" s="252">
        <v>0</v>
      </c>
      <c r="AB45" s="50" t="s">
        <v>471</v>
      </c>
    </row>
    <row r="46" spans="22:34">
      <c r="V46" s="255"/>
      <c r="W46" s="256"/>
      <c r="X46" s="253" t="s">
        <v>75</v>
      </c>
      <c r="Y46" s="252" t="s">
        <v>495</v>
      </c>
      <c r="Z46" s="252" t="s">
        <v>84</v>
      </c>
      <c r="AA46" s="252">
        <v>0</v>
      </c>
      <c r="AB46" s="50" t="s">
        <v>471</v>
      </c>
    </row>
  </sheetData>
  <sheetProtection sheet="1" objects="1" scenarios="1"/>
  <dataConsolidate/>
  <mergeCells count="11">
    <mergeCell ref="Z3:AA3"/>
    <mergeCell ref="O2:O4"/>
    <mergeCell ref="B2:C3"/>
    <mergeCell ref="D2:D4"/>
    <mergeCell ref="E2:M2"/>
    <mergeCell ref="N2:N4"/>
    <mergeCell ref="I3:M3"/>
    <mergeCell ref="E3:E4"/>
    <mergeCell ref="F3:F4"/>
    <mergeCell ref="G3:G4"/>
    <mergeCell ref="H3:H4"/>
  </mergeCells>
  <phoneticPr fontId="21" type="noConversion"/>
  <conditionalFormatting sqref="C5:C24">
    <cfRule type="cellIs" dxfId="2" priority="1" stopIfTrue="1" operator="equal">
      <formula>0</formula>
    </cfRule>
  </conditionalFormatting>
  <dataValidations count="4">
    <dataValidation type="list" allowBlank="1" showErrorMessage="1" sqref="H5:H24">
      <formula1>$AC$5:$AC$8</formula1>
    </dataValidation>
    <dataValidation type="whole" allowBlank="1" showInputMessage="1" showErrorMessage="1" sqref="I5:M5">
      <formula1>0</formula1>
      <formula2>160000</formula2>
    </dataValidation>
    <dataValidation type="list" allowBlank="1" showErrorMessage="1" sqref="D5:D24">
      <formula1>$X$5:$X$46</formula1>
    </dataValidation>
    <dataValidation type="list" allowBlank="1" showErrorMessage="1" sqref="E5:G24">
      <formula1>$AD$5:$AD$6</formula1>
    </dataValidation>
  </dataValidations>
  <pageMargins left="0.39374999999999999" right="0.39374999999999999" top="0.39374999999999999" bottom="0.39374999999999999" header="0.31527777777777777" footer="0.51180555555555551"/>
  <pageSetup paperSize="9" scale="64" firstPageNumber="0" fitToHeight="0" orientation="landscape" horizontalDpi="300" verticalDpi="300" r:id="rId1"/>
  <headerFooter alignWithMargins="0">
    <oddHeader>&amp;L&amp;"Arial,Grassetto"&amp;12SERVIZI DI TRASPORTO DATI</oddHeader>
  </headerFooter>
  <colBreaks count="1" manualBreakCount="1">
    <brk id="8" max="1048575" man="1"/>
  </colBreaks>
  <cellWatches>
    <cellWatch r="D5"/>
  </cellWatches>
</worksheet>
</file>

<file path=xl/worksheets/sheet4.xml><?xml version="1.0" encoding="utf-8"?>
<worksheet xmlns="http://schemas.openxmlformats.org/spreadsheetml/2006/main" xmlns:r="http://schemas.openxmlformats.org/officeDocument/2006/relationships">
  <sheetPr>
    <tabColor indexed="21"/>
  </sheetPr>
  <dimension ref="B1:D4"/>
  <sheetViews>
    <sheetView showGridLines="0" workbookViewId="0">
      <selection activeCell="F32" sqref="F32"/>
    </sheetView>
  </sheetViews>
  <sheetFormatPr defaultColWidth="8.7109375" defaultRowHeight="12.75"/>
  <cols>
    <col min="1" max="1" width="2.5703125" style="2" customWidth="1"/>
    <col min="2" max="2" width="13" style="2" customWidth="1"/>
    <col min="3" max="3" width="34.5703125" style="2" customWidth="1"/>
    <col min="4" max="4" width="16.5703125" style="2" customWidth="1"/>
    <col min="5" max="5" width="8.7109375" style="2"/>
    <col min="6" max="6" width="9.5703125" style="2" customWidth="1"/>
    <col min="7" max="16384" width="8.7109375" style="2"/>
  </cols>
  <sheetData>
    <row r="1" spans="2:4" ht="13.5" thickBot="1"/>
    <row r="2" spans="2:4" ht="13.5" thickBot="1">
      <c r="B2" s="271" t="s">
        <v>95</v>
      </c>
      <c r="C2" s="271" t="s">
        <v>209</v>
      </c>
      <c r="D2" s="271" t="s">
        <v>504</v>
      </c>
    </row>
    <row r="3" spans="2:4" ht="13.5" thickBot="1">
      <c r="B3" s="272" t="s">
        <v>505</v>
      </c>
      <c r="C3" s="272" t="s">
        <v>506</v>
      </c>
      <c r="D3" s="278">
        <v>60</v>
      </c>
    </row>
    <row r="4" spans="2:4" ht="13.5" thickBot="1">
      <c r="B4" s="272" t="s">
        <v>507</v>
      </c>
      <c r="C4" s="272" t="s">
        <v>508</v>
      </c>
      <c r="D4" s="278">
        <v>7</v>
      </c>
    </row>
  </sheetData>
  <sheetProtection sheet="1" objects="1" scenarios="1"/>
  <phoneticPr fontId="21" type="noConversion"/>
  <pageMargins left="0.75" right="0.75" top="1" bottom="1" header="0.5" footer="0.5"/>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sheetPr>
    <tabColor indexed="10"/>
    <pageSetUpPr fitToPage="1"/>
  </sheetPr>
  <dimension ref="B1:V25"/>
  <sheetViews>
    <sheetView showGridLines="0" workbookViewId="0">
      <selection activeCell="H29" sqref="H29"/>
    </sheetView>
  </sheetViews>
  <sheetFormatPr defaultColWidth="9.28515625" defaultRowHeight="12.75"/>
  <cols>
    <col min="1" max="1" width="2.5703125" style="1" customWidth="1"/>
    <col min="2" max="2" width="7.5703125" style="1" customWidth="1"/>
    <col min="3" max="3" width="22.7109375" style="49" customWidth="1"/>
    <col min="4" max="12" width="12.5703125" style="1" customWidth="1"/>
    <col min="13" max="13" width="61.42578125" style="1" customWidth="1"/>
    <col min="14" max="14" width="38" style="53" customWidth="1"/>
    <col min="15" max="15" width="24.7109375" style="43" customWidth="1"/>
    <col min="16" max="16" width="14" style="44" customWidth="1"/>
    <col min="17" max="19" width="9.28515625" style="1" customWidth="1"/>
    <col min="20" max="21" width="9.28515625" style="1" hidden="1" customWidth="1"/>
    <col min="22" max="22" width="11.140625" style="1" hidden="1" customWidth="1"/>
    <col min="23" max="16384" width="9.28515625" style="1"/>
  </cols>
  <sheetData>
    <row r="1" spans="2:22" ht="13.5" thickBot="1"/>
    <row r="2" spans="2:22" ht="20.25" customHeight="1">
      <c r="B2" s="331" t="s">
        <v>23</v>
      </c>
      <c r="C2" s="332"/>
      <c r="D2" s="332" t="s">
        <v>95</v>
      </c>
      <c r="E2" s="332" t="s">
        <v>94</v>
      </c>
      <c r="F2" s="332"/>
      <c r="G2" s="332"/>
      <c r="H2" s="332"/>
      <c r="I2" s="332"/>
      <c r="J2" s="332"/>
      <c r="K2" s="332"/>
      <c r="L2" s="332"/>
      <c r="M2" s="322" t="s">
        <v>96</v>
      </c>
      <c r="N2" s="334" t="s">
        <v>10</v>
      </c>
      <c r="O2" s="269"/>
      <c r="T2" s="143" t="s">
        <v>446</v>
      </c>
      <c r="U2" s="95" t="s">
        <v>83</v>
      </c>
      <c r="V2" s="126" t="s">
        <v>563</v>
      </c>
    </row>
    <row r="3" spans="2:22" ht="26.65" customHeight="1">
      <c r="B3" s="331"/>
      <c r="C3" s="332"/>
      <c r="D3" s="332"/>
      <c r="E3" s="332" t="s">
        <v>105</v>
      </c>
      <c r="F3" s="332" t="s">
        <v>103</v>
      </c>
      <c r="G3" s="332" t="s">
        <v>104</v>
      </c>
      <c r="H3" s="332" t="s">
        <v>579</v>
      </c>
      <c r="I3" s="336" t="s">
        <v>581</v>
      </c>
      <c r="J3" s="274" t="s">
        <v>580</v>
      </c>
      <c r="K3" s="332" t="s">
        <v>77</v>
      </c>
      <c r="L3" s="332" t="s">
        <v>22</v>
      </c>
      <c r="M3" s="323"/>
      <c r="N3" s="334"/>
      <c r="O3" s="270"/>
      <c r="P3" s="1"/>
      <c r="T3" s="143" t="s">
        <v>97</v>
      </c>
      <c r="U3" s="95" t="s">
        <v>84</v>
      </c>
      <c r="V3" s="126" t="s">
        <v>565</v>
      </c>
    </row>
    <row r="4" spans="2:22" s="51" customFormat="1" ht="40.15" customHeight="1" thickBot="1">
      <c r="B4" s="72" t="s">
        <v>93</v>
      </c>
      <c r="C4" s="63" t="s">
        <v>16</v>
      </c>
      <c r="D4" s="333"/>
      <c r="E4" s="333"/>
      <c r="F4" s="333"/>
      <c r="G4" s="333"/>
      <c r="H4" s="333"/>
      <c r="I4" s="337"/>
      <c r="J4" s="273" t="s">
        <v>152</v>
      </c>
      <c r="K4" s="333"/>
      <c r="L4" s="333"/>
      <c r="M4" s="323"/>
      <c r="N4" s="335"/>
      <c r="T4" s="143" t="s">
        <v>98</v>
      </c>
      <c r="U4" s="43"/>
      <c r="V4" s="126" t="s">
        <v>567</v>
      </c>
    </row>
    <row r="5" spans="2:22" s="92" customFormat="1" ht="12.75" customHeight="1" thickBot="1">
      <c r="B5" s="280">
        <v>1</v>
      </c>
      <c r="C5" s="145" t="str">
        <f>CONCATENATE(VLOOKUP(B5,'Dati generali-anagrafici'!$B$41:$D$60,3)," - ",VLOOKUP(B5,'Dati generali-anagrafici'!$B$41:$D$60,2))</f>
        <v>Trepuzzi - Municipio - Corso Garibaldi n. 10</v>
      </c>
      <c r="D5" s="144" t="s">
        <v>98</v>
      </c>
      <c r="E5" s="144" t="s">
        <v>587</v>
      </c>
      <c r="F5" s="144" t="s">
        <v>587</v>
      </c>
      <c r="G5" s="144" t="s">
        <v>587</v>
      </c>
      <c r="H5" s="144" t="s">
        <v>587</v>
      </c>
      <c r="I5" s="153"/>
      <c r="J5" s="144"/>
      <c r="K5" s="144"/>
      <c r="L5" s="144"/>
      <c r="M5" s="279" t="str">
        <f>IF(D5&lt;&gt;"", IF('Servizi di Trasporto Dati'!D5="","Errore: a questa sede non è associato nessun servizio dati !",IF(D5="SCEN", IF(OR('Servizi di Trasporto Dati'!D5="STDH-4",'Servizi di Trasporto Dati'!D5="STDH-5",'Servizi di Trasporto Dati'!D5="STDH-6",'Servizi di Trasporto Dati'!D5="STDH-7",LEFT('Servizi di Trasporto Dati'!D5,4)="STDO"),"Errore: il servizio SCEN non è attivabile per il profilo di trasporto scelto !",IF(E5="Si","Errore: l'opzione Antivirus / Antispyware &amp; Content Filtering non è attivabile !", IF(F5="Si","Errore: l'opzione Application Filtering &amp; Monitoring non è attivabile !", IF(G5="Si","Errore: l'opzione Accesso remoto sicuro VPN non è attivabile !", IF(H5="Si","Errore: l'opzione Web Application Firewall non è attivabile !", IF(I5&lt;&gt;"","Errore: l'opzione Sandbox non è attivabile !", IF(J5&lt;&gt;"","Errore: l'opzione Data Leakage Prevention non è attivabile !", IF(K5="Si","Errore: l'opzione Affidabilità elevata non è attivabile !","OK")))))))),"OK")),"")</f>
        <v>OK</v>
      </c>
      <c r="N5" s="133"/>
      <c r="T5" s="143" t="s">
        <v>99</v>
      </c>
      <c r="U5" s="43"/>
    </row>
    <row r="6" spans="2:22" s="92" customFormat="1" ht="12.75" customHeight="1" thickBot="1">
      <c r="B6" s="280">
        <v>2</v>
      </c>
      <c r="C6" s="145" t="str">
        <f>CONCATENATE(VLOOKUP(B6,'Dati generali-anagrafici'!$B$41:$D$60,3)," - ",VLOOKUP(B6,'Dati generali-anagrafici'!$B$41:$D$60,2))</f>
        <v>Trepuzzi - Polizia Locale - Via Brunetti n. 50</v>
      </c>
      <c r="D6" s="144"/>
      <c r="E6" s="144"/>
      <c r="F6" s="144"/>
      <c r="G6" s="144"/>
      <c r="H6" s="144"/>
      <c r="I6" s="153"/>
      <c r="J6" s="144"/>
      <c r="K6" s="144"/>
      <c r="L6" s="144"/>
      <c r="M6" s="279" t="str">
        <f>IF(D6&lt;&gt;"", IF('Servizi di Trasporto Dati'!D6="","Errore: a questa sede non è associato nessun servizio dati !",IF(D6="SCEN", IF(OR('Servizi di Trasporto Dati'!D6="STDH-4",'Servizi di Trasporto Dati'!D6="STDH-5",'Servizi di Trasporto Dati'!D6="STDH-6",'Servizi di Trasporto Dati'!D6="STDH-7",LEFT('Servizi di Trasporto Dati'!D6,4)="STDO"),"Errore: il servizio SCEN non è attivabile per il profilo di trasporto scelto !",IF(E6="Si","Errore: l'opzione Antivirus / Antispyware &amp; Content Filtering non è attivabile !", IF(F6="Si","Errore: l'opzione Application Filtering &amp; Monitoring non è attivabile !", IF(G6="Si","Errore: l'opzione Accesso remoto sicuro VPN non è attivabile !", IF(H6="Si","Errore: l'opzione Web Application Firewall non è attivabile !", IF(I6&lt;&gt;"","Errore: l'opzione Sandbox non è attivabile !", IF(J6&lt;&gt;"","Errore: l'opzione Data Leakage Prevention non è attivabile !", IF(K6="Si","Errore: l'opzione Affidabilità elevata non è attivabile !","OK")))))))),"OK")),"")</f>
        <v/>
      </c>
      <c r="N6" s="133"/>
      <c r="T6" s="143" t="s">
        <v>100</v>
      </c>
      <c r="U6" s="43"/>
    </row>
    <row r="7" spans="2:22" s="92" customFormat="1" ht="12.75" customHeight="1" thickBot="1">
      <c r="B7" s="280">
        <v>3</v>
      </c>
      <c r="C7" s="145" t="str">
        <f>CONCATENATE(VLOOKUP(B7,'Dati generali-anagrafici'!$B$41:$D$60,3)," - ",VLOOKUP(B7,'Dati generali-anagrafici'!$B$41:$D$60,2))</f>
        <v xml:space="preserve"> - </v>
      </c>
      <c r="D7" s="144"/>
      <c r="E7" s="144"/>
      <c r="F7" s="144"/>
      <c r="G7" s="144"/>
      <c r="H7" s="144"/>
      <c r="I7" s="153"/>
      <c r="J7" s="144"/>
      <c r="K7" s="144"/>
      <c r="L7" s="144"/>
      <c r="M7" s="279" t="str">
        <f>IF(D7&lt;&gt;"", IF('Servizi di Trasporto Dati'!D7="","Errore: a questa sede non è associato nessun servizio dati !",IF(D7="SCEN", IF(OR('Servizi di Trasporto Dati'!D7="STDH-4",'Servizi di Trasporto Dati'!D7="STDH-5",'Servizi di Trasporto Dati'!D7="STDH-6",'Servizi di Trasporto Dati'!D7="STDH-7",LEFT('Servizi di Trasporto Dati'!D7,4)="STDO"),"Errore: il servizio SCEN non è attivabile per il profilo di trasporto scelto !",IF(E7="Si","Errore: l'opzione Antivirus / Antispyware &amp; Content Filtering non è attivabile !", IF(F7="Si","Errore: l'opzione Application Filtering &amp; Monitoring non è attivabile !", IF(G7="Si","Errore: l'opzione Accesso remoto sicuro VPN non è attivabile !", IF(H7="Si","Errore: l'opzione Web Application Firewall non è attivabile !", IF(I7&lt;&gt;"","Errore: l'opzione Sandbox non è attivabile !", IF(J7&lt;&gt;"","Errore: l'opzione Data Leakage Prevention non è attivabile !", IF(K7="Si","Errore: l'opzione Affidabilità elevata non è attivabile !","OK")))))))),"OK")),"")</f>
        <v/>
      </c>
      <c r="N7" s="133"/>
      <c r="T7" s="143" t="s">
        <v>101</v>
      </c>
      <c r="U7" s="43"/>
    </row>
    <row r="8" spans="2:22" s="92" customFormat="1" ht="12.75" customHeight="1" thickBot="1">
      <c r="B8" s="280">
        <v>4</v>
      </c>
      <c r="C8" s="145" t="str">
        <f>CONCATENATE(VLOOKUP(B8,'Dati generali-anagrafici'!$B$41:$D$60,3)," - ",VLOOKUP(B8,'Dati generali-anagrafici'!$B$41:$D$60,2))</f>
        <v xml:space="preserve"> - </v>
      </c>
      <c r="D8" s="144"/>
      <c r="E8" s="144"/>
      <c r="F8" s="144"/>
      <c r="G8" s="144"/>
      <c r="H8" s="144"/>
      <c r="I8" s="153"/>
      <c r="J8" s="144"/>
      <c r="K8" s="144"/>
      <c r="L8" s="144"/>
      <c r="M8" s="279" t="str">
        <f>IF(D8&lt;&gt;"", IF('Servizi di Trasporto Dati'!D8="","Errore: a questa sede non è associato nessun servizio dati !",IF(D8="SCEN", IF(OR('Servizi di Trasporto Dati'!D8="STDH-4",'Servizi di Trasporto Dati'!D8="STDH-5",'Servizi di Trasporto Dati'!D8="STDH-6",'Servizi di Trasporto Dati'!D8="STDH-7",LEFT('Servizi di Trasporto Dati'!D8,4)="STDO"),"Errore: il servizio SCEN non è attivabile per il profilo di trasporto scelto !",IF(E8="Si","Errore: l'opzione Antivirus / Antispyware &amp; Content Filtering non è attivabile !", IF(F8="Si","Errore: l'opzione Application Filtering &amp; Monitoring non è attivabile !", IF(G8="Si","Errore: l'opzione Accesso remoto sicuro VPN non è attivabile !", IF(H8="Si","Errore: l'opzione Web Application Firewall non è attivabile !", IF(I8&lt;&gt;"","Errore: l'opzione Sandbox non è attivabile !", IF(J8&lt;&gt;"","Errore: l'opzione Data Leakage Prevention non è attivabile !", IF(K8="Si","Errore: l'opzione Affidabilità elevata non è attivabile !","OK")))))))),"OK")),"")</f>
        <v/>
      </c>
      <c r="N8" s="133"/>
      <c r="T8" s="143" t="s">
        <v>102</v>
      </c>
      <c r="U8" s="1"/>
    </row>
    <row r="9" spans="2:22" s="92" customFormat="1" ht="12.75" customHeight="1" thickBot="1">
      <c r="B9" s="280">
        <v>5</v>
      </c>
      <c r="C9" s="145" t="str">
        <f>CONCATENATE(VLOOKUP(B9,'Dati generali-anagrafici'!$B$41:$D$60,3)," - ",VLOOKUP(B9,'Dati generali-anagrafici'!$B$41:$D$60,2))</f>
        <v xml:space="preserve"> - </v>
      </c>
      <c r="D9" s="144"/>
      <c r="E9" s="144"/>
      <c r="F9" s="144"/>
      <c r="G9" s="144"/>
      <c r="H9" s="144"/>
      <c r="I9" s="153"/>
      <c r="J9" s="144"/>
      <c r="K9" s="144"/>
      <c r="L9" s="144"/>
      <c r="M9" s="279" t="str">
        <f>IF(D9&lt;&gt;"", IF('Servizi di Trasporto Dati'!D9="","Errore: a questa sede non è associato nessun servizio dati !",IF(D9="SCEN", IF(OR('Servizi di Trasporto Dati'!D9="STDH-4",'Servizi di Trasporto Dati'!D9="STDH-5",'Servizi di Trasporto Dati'!D9="STDH-6",'Servizi di Trasporto Dati'!D9="STDH-7",LEFT('Servizi di Trasporto Dati'!D9,4)="STDO"),"Errore: il servizio SCEN non è attivabile per il profilo di trasporto scelto !",IF(E9="Si","Errore: l'opzione Antivirus / Antispyware &amp; Content Filtering non è attivabile !", IF(F9="Si","Errore: l'opzione Application Filtering &amp; Monitoring non è attivabile !", IF(G9="Si","Errore: l'opzione Accesso remoto sicuro VPN non è attivabile !", IF(H9="Si","Errore: l'opzione Web Application Firewall non è attivabile !", IF(I9&lt;&gt;"","Errore: l'opzione Sandbox non è attivabile !", IF(J9&lt;&gt;"","Errore: l'opzione Data Leakage Prevention non è attivabile !", IF(K9="Si","Errore: l'opzione Affidabilità elevata non è attivabile !","OK")))))))),"OK")),"")</f>
        <v/>
      </c>
      <c r="N9" s="133"/>
      <c r="T9" s="1"/>
      <c r="U9" s="1"/>
    </row>
    <row r="10" spans="2:22" s="92" customFormat="1" ht="12.75" customHeight="1" thickBot="1">
      <c r="B10" s="280">
        <v>6</v>
      </c>
      <c r="C10" s="145" t="str">
        <f>CONCATENATE(VLOOKUP(B10,'Dati generali-anagrafici'!$B$41:$D$60,3)," - ",VLOOKUP(B10,'Dati generali-anagrafici'!$B$41:$D$60,2))</f>
        <v xml:space="preserve"> - </v>
      </c>
      <c r="D10" s="144"/>
      <c r="E10" s="144"/>
      <c r="F10" s="144"/>
      <c r="G10" s="144"/>
      <c r="H10" s="144"/>
      <c r="I10" s="153"/>
      <c r="J10" s="144"/>
      <c r="K10" s="144"/>
      <c r="L10" s="144"/>
      <c r="M10" s="279" t="str">
        <f>IF(D10&lt;&gt;"", IF('Servizi di Trasporto Dati'!D10="","Errore: a questa sede non è associato nessun servizio dati !",IF(D10="SCEN", IF(OR('Servizi di Trasporto Dati'!D10="STDH-4",'Servizi di Trasporto Dati'!D10="STDH-5",'Servizi di Trasporto Dati'!D10="STDH-6",'Servizi di Trasporto Dati'!D10="STDH-7",LEFT('Servizi di Trasporto Dati'!D10,4)="STDO"),"Errore: il servizio SCEN non è attivabile per il profilo di trasporto scelto !",IF(E10="Si","Errore: l'opzione Antivirus / Antispyware &amp; Content Filtering non è attivabile !", IF(F10="Si","Errore: l'opzione Application Filtering &amp; Monitoring non è attivabile !", IF(G10="Si","Errore: l'opzione Accesso remoto sicuro VPN non è attivabile !", IF(H10="Si","Errore: l'opzione Web Application Firewall non è attivabile !", IF(I10&lt;&gt;"","Errore: l'opzione Sandbox non è attivabile !", IF(J10&lt;&gt;"","Errore: l'opzione Data Leakage Prevention non è attivabile !", IF(K10="Si","Errore: l'opzione Affidabilità elevata non è attivabile !","OK")))))))),"OK")),"")</f>
        <v/>
      </c>
      <c r="N10" s="133"/>
      <c r="T10" s="1"/>
      <c r="U10" s="1"/>
    </row>
    <row r="11" spans="2:22" s="92" customFormat="1" ht="12.75" customHeight="1" thickBot="1">
      <c r="B11" s="280">
        <v>7</v>
      </c>
      <c r="C11" s="145" t="str">
        <f>CONCATENATE(VLOOKUP(B11,'Dati generali-anagrafici'!$B$41:$D$60,3)," - ",VLOOKUP(B11,'Dati generali-anagrafici'!$B$41:$D$60,2))</f>
        <v xml:space="preserve"> - </v>
      </c>
      <c r="D11" s="144"/>
      <c r="E11" s="144"/>
      <c r="F11" s="144"/>
      <c r="G11" s="144"/>
      <c r="H11" s="144"/>
      <c r="I11" s="153"/>
      <c r="J11" s="144"/>
      <c r="K11" s="144"/>
      <c r="L11" s="144"/>
      <c r="M11" s="279" t="str">
        <f>IF(D11&lt;&gt;"", IF('Servizi di Trasporto Dati'!D11="","Errore: a questa sede non è associato nessun servizio dati !",IF(D11="SCEN", IF(OR('Servizi di Trasporto Dati'!D11="STDH-4",'Servizi di Trasporto Dati'!D11="STDH-5",'Servizi di Trasporto Dati'!D11="STDH-6",'Servizi di Trasporto Dati'!D11="STDH-7",LEFT('Servizi di Trasporto Dati'!D11,4)="STDO"),"Errore: il servizio SCEN non è attivabile per il profilo di trasporto scelto !",IF(E11="Si","Errore: l'opzione Antivirus / Antispyware &amp; Content Filtering non è attivabile !", IF(F11="Si","Errore: l'opzione Application Filtering &amp; Monitoring non è attivabile !", IF(G11="Si","Errore: l'opzione Accesso remoto sicuro VPN non è attivabile !", IF(H11="Si","Errore: l'opzione Web Application Firewall non è attivabile !", IF(I11&lt;&gt;"","Errore: l'opzione Sandbox non è attivabile !", IF(J11&lt;&gt;"","Errore: l'opzione Data Leakage Prevention non è attivabile !", IF(K11="Si","Errore: l'opzione Affidabilità elevata non è attivabile !","OK")))))))),"OK")),"")</f>
        <v/>
      </c>
      <c r="N11" s="133"/>
      <c r="T11" s="1"/>
      <c r="U11" s="1"/>
    </row>
    <row r="12" spans="2:22" s="92" customFormat="1" ht="12.75" customHeight="1" thickBot="1">
      <c r="B12" s="280">
        <v>8</v>
      </c>
      <c r="C12" s="145" t="str">
        <f>CONCATENATE(VLOOKUP(B12,'Dati generali-anagrafici'!$B$41:$D$60,3)," - ",VLOOKUP(B12,'Dati generali-anagrafici'!$B$41:$D$60,2))</f>
        <v xml:space="preserve"> - </v>
      </c>
      <c r="D12" s="144"/>
      <c r="E12" s="144"/>
      <c r="F12" s="144"/>
      <c r="G12" s="144"/>
      <c r="H12" s="144"/>
      <c r="I12" s="153"/>
      <c r="J12" s="144"/>
      <c r="K12" s="144"/>
      <c r="L12" s="144"/>
      <c r="M12" s="279" t="str">
        <f>IF(D12&lt;&gt;"", IF('Servizi di Trasporto Dati'!D12="","Errore: a questa sede non è associato nessun servizio dati !",IF(D12="SCEN", IF(OR('Servizi di Trasporto Dati'!D12="STDH-4",'Servizi di Trasporto Dati'!D12="STDH-5",'Servizi di Trasporto Dati'!D12="STDH-6",'Servizi di Trasporto Dati'!D12="STDH-7",LEFT('Servizi di Trasporto Dati'!D12,4)="STDO"),"Errore: il servizio SCEN non è attivabile per il profilo di trasporto scelto !",IF(E12="Si","Errore: l'opzione Antivirus / Antispyware &amp; Content Filtering non è attivabile !", IF(F12="Si","Errore: l'opzione Application Filtering &amp; Monitoring non è attivabile !", IF(G12="Si","Errore: l'opzione Accesso remoto sicuro VPN non è attivabile !", IF(H12="Si","Errore: l'opzione Web Application Firewall non è attivabile !", IF(I12&lt;&gt;"","Errore: l'opzione Sandbox non è attivabile !", IF(J12&lt;&gt;"","Errore: l'opzione Data Leakage Prevention non è attivabile !", IF(K12="Si","Errore: l'opzione Affidabilità elevata non è attivabile !","OK")))))))),"OK")),"")</f>
        <v/>
      </c>
      <c r="N12" s="133"/>
      <c r="T12" s="1"/>
      <c r="U12" s="1"/>
    </row>
    <row r="13" spans="2:22" s="92" customFormat="1" ht="12.75" customHeight="1" thickBot="1">
      <c r="B13" s="280">
        <v>9</v>
      </c>
      <c r="C13" s="145" t="str">
        <f>CONCATENATE(VLOOKUP(B13,'Dati generali-anagrafici'!$B$41:$D$60,3)," - ",VLOOKUP(B13,'Dati generali-anagrafici'!$B$41:$D$60,2))</f>
        <v xml:space="preserve"> - </v>
      </c>
      <c r="D13" s="144"/>
      <c r="E13" s="144"/>
      <c r="F13" s="144"/>
      <c r="G13" s="144"/>
      <c r="H13" s="144"/>
      <c r="I13" s="153"/>
      <c r="J13" s="144"/>
      <c r="K13" s="144"/>
      <c r="L13" s="144"/>
      <c r="M13" s="279" t="str">
        <f>IF(D13&lt;&gt;"", IF('Servizi di Trasporto Dati'!D13="","Errore: a questa sede non è associato nessun servizio dati !",IF(D13="SCEN", IF(OR('Servizi di Trasporto Dati'!D13="STDH-4",'Servizi di Trasporto Dati'!D13="STDH-5",'Servizi di Trasporto Dati'!D13="STDH-6",'Servizi di Trasporto Dati'!D13="STDH-7",LEFT('Servizi di Trasporto Dati'!D13,4)="STDO"),"Errore: il servizio SCEN non è attivabile per il profilo di trasporto scelto !",IF(E13="Si","Errore: l'opzione Antivirus / Antispyware &amp; Content Filtering non è attivabile !", IF(F13="Si","Errore: l'opzione Application Filtering &amp; Monitoring non è attivabile !", IF(G13="Si","Errore: l'opzione Accesso remoto sicuro VPN non è attivabile !", IF(H13="Si","Errore: l'opzione Web Application Firewall non è attivabile !", IF(I13&lt;&gt;"","Errore: l'opzione Sandbox non è attivabile !", IF(J13&lt;&gt;"","Errore: l'opzione Data Leakage Prevention non è attivabile !", IF(K13="Si","Errore: l'opzione Affidabilità elevata non è attivabile !","OK")))))))),"OK")),"")</f>
        <v/>
      </c>
      <c r="N13" s="133"/>
      <c r="T13" s="1"/>
      <c r="U13" s="1"/>
    </row>
    <row r="14" spans="2:22" s="92" customFormat="1" ht="12.75" customHeight="1" thickBot="1">
      <c r="B14" s="280">
        <v>10</v>
      </c>
      <c r="C14" s="145" t="str">
        <f>CONCATENATE(VLOOKUP(B14,'Dati generali-anagrafici'!$B$41:$D$60,3)," - ",VLOOKUP(B14,'Dati generali-anagrafici'!$B$41:$D$60,2))</f>
        <v xml:space="preserve"> - </v>
      </c>
      <c r="D14" s="144"/>
      <c r="E14" s="144"/>
      <c r="F14" s="144"/>
      <c r="G14" s="144"/>
      <c r="H14" s="144"/>
      <c r="I14" s="153"/>
      <c r="J14" s="144"/>
      <c r="K14" s="144"/>
      <c r="L14" s="144"/>
      <c r="M14" s="279" t="str">
        <f>IF(D14&lt;&gt;"", IF('Servizi di Trasporto Dati'!D14="","Errore: a questa sede non è associato nessun servizio dati !",IF(D14="SCEN", IF(OR('Servizi di Trasporto Dati'!D14="STDH-4",'Servizi di Trasporto Dati'!D14="STDH-5",'Servizi di Trasporto Dati'!D14="STDH-6",'Servizi di Trasporto Dati'!D14="STDH-7",LEFT('Servizi di Trasporto Dati'!D14,4)="STDO"),"Errore: il servizio SCEN non è attivabile per il profilo di trasporto scelto !",IF(E14="Si","Errore: l'opzione Antivirus / Antispyware &amp; Content Filtering non è attivabile !", IF(F14="Si","Errore: l'opzione Application Filtering &amp; Monitoring non è attivabile !", IF(G14="Si","Errore: l'opzione Accesso remoto sicuro VPN non è attivabile !", IF(H14="Si","Errore: l'opzione Web Application Firewall non è attivabile !", IF(I14&lt;&gt;"","Errore: l'opzione Sandbox non è attivabile !", IF(J14&lt;&gt;"","Errore: l'opzione Data Leakage Prevention non è attivabile !", IF(K14="Si","Errore: l'opzione Affidabilità elevata non è attivabile !","OK")))))))),"OK")),"")</f>
        <v/>
      </c>
      <c r="N14" s="133"/>
      <c r="T14" s="1"/>
      <c r="U14" s="1"/>
    </row>
    <row r="15" spans="2:22" s="92" customFormat="1" ht="12.75" customHeight="1" thickBot="1">
      <c r="B15" s="280">
        <v>11</v>
      </c>
      <c r="C15" s="145" t="str">
        <f>CONCATENATE(VLOOKUP(B15,'Dati generali-anagrafici'!$B$41:$D$60,3)," - ",VLOOKUP(B15,'Dati generali-anagrafici'!$B$41:$D$60,2))</f>
        <v xml:space="preserve"> - </v>
      </c>
      <c r="D15" s="144"/>
      <c r="E15" s="144"/>
      <c r="F15" s="144"/>
      <c r="G15" s="144"/>
      <c r="H15" s="144"/>
      <c r="I15" s="153"/>
      <c r="J15" s="144"/>
      <c r="K15" s="144"/>
      <c r="L15" s="144"/>
      <c r="M15" s="279" t="str">
        <f>IF(D15&lt;&gt;"", IF('Servizi di Trasporto Dati'!D15="","Errore: a questa sede non è associato nessun servizio dati !",IF(D15="SCEN", IF(OR('Servizi di Trasporto Dati'!D15="STDH-4",'Servizi di Trasporto Dati'!D15="STDH-5",'Servizi di Trasporto Dati'!D15="STDH-6",'Servizi di Trasporto Dati'!D15="STDH-7",LEFT('Servizi di Trasporto Dati'!D15,4)="STDO"),"Errore: il servizio SCEN non è attivabile per il profilo di trasporto scelto !",IF(E15="Si","Errore: l'opzione Antivirus / Antispyware &amp; Content Filtering non è attivabile !", IF(F15="Si","Errore: l'opzione Application Filtering &amp; Monitoring non è attivabile !", IF(G15="Si","Errore: l'opzione Accesso remoto sicuro VPN non è attivabile !", IF(H15="Si","Errore: l'opzione Web Application Firewall non è attivabile !", IF(I15&lt;&gt;"","Errore: l'opzione Sandbox non è attivabile !", IF(J15&lt;&gt;"","Errore: l'opzione Data Leakage Prevention non è attivabile !", IF(K15="Si","Errore: l'opzione Affidabilità elevata non è attivabile !","OK")))))))),"OK")),"")</f>
        <v/>
      </c>
      <c r="N15" s="133"/>
      <c r="T15" s="1"/>
      <c r="U15" s="1"/>
    </row>
    <row r="16" spans="2:22" s="92" customFormat="1" ht="12.75" customHeight="1" thickBot="1">
      <c r="B16" s="280">
        <v>12</v>
      </c>
      <c r="C16" s="145" t="str">
        <f>CONCATENATE(VLOOKUP(B16,'Dati generali-anagrafici'!$B$41:$D$60,3)," - ",VLOOKUP(B16,'Dati generali-anagrafici'!$B$41:$D$60,2))</f>
        <v xml:space="preserve"> - </v>
      </c>
      <c r="D16" s="144"/>
      <c r="E16" s="144"/>
      <c r="F16" s="144"/>
      <c r="G16" s="144"/>
      <c r="H16" s="144"/>
      <c r="I16" s="153"/>
      <c r="J16" s="144"/>
      <c r="K16" s="144"/>
      <c r="L16" s="144"/>
      <c r="M16" s="279" t="str">
        <f>IF(D16&lt;&gt;"", IF('Servizi di Trasporto Dati'!D16="","Errore: a questa sede non è associato nessun servizio dati !",IF(D16="SCEN", IF(OR('Servizi di Trasporto Dati'!D16="STDH-4",'Servizi di Trasporto Dati'!D16="STDH-5",'Servizi di Trasporto Dati'!D16="STDH-6",'Servizi di Trasporto Dati'!D16="STDH-7",LEFT('Servizi di Trasporto Dati'!D16,4)="STDO"),"Errore: il servizio SCEN non è attivabile per il profilo di trasporto scelto !",IF(E16="Si","Errore: l'opzione Antivirus / Antispyware &amp; Content Filtering non è attivabile !", IF(F16="Si","Errore: l'opzione Application Filtering &amp; Monitoring non è attivabile !", IF(G16="Si","Errore: l'opzione Accesso remoto sicuro VPN non è attivabile !", IF(H16="Si","Errore: l'opzione Web Application Firewall non è attivabile !", IF(I16&lt;&gt;"","Errore: l'opzione Sandbox non è attivabile !", IF(J16&lt;&gt;"","Errore: l'opzione Data Leakage Prevention non è attivabile !", IF(K16="Si","Errore: l'opzione Affidabilità elevata non è attivabile !","OK")))))))),"OK")),"")</f>
        <v/>
      </c>
      <c r="N16" s="133"/>
      <c r="T16" s="1"/>
      <c r="U16" s="1"/>
    </row>
    <row r="17" spans="2:21" s="92" customFormat="1" ht="12.75" customHeight="1" thickBot="1">
      <c r="B17" s="280">
        <v>13</v>
      </c>
      <c r="C17" s="145" t="str">
        <f>CONCATENATE(VLOOKUP(B17,'Dati generali-anagrafici'!$B$41:$D$60,3)," - ",VLOOKUP(B17,'Dati generali-anagrafici'!$B$41:$D$60,2))</f>
        <v xml:space="preserve"> - </v>
      </c>
      <c r="D17" s="144"/>
      <c r="E17" s="144"/>
      <c r="F17" s="144"/>
      <c r="G17" s="144"/>
      <c r="H17" s="144"/>
      <c r="I17" s="153"/>
      <c r="J17" s="144"/>
      <c r="K17" s="144"/>
      <c r="L17" s="144"/>
      <c r="M17" s="279" t="str">
        <f>IF(D17&lt;&gt;"", IF('Servizi di Trasporto Dati'!D17="","Errore: a questa sede non è associato nessun servizio dati !",IF(D17="SCEN", IF(OR('Servizi di Trasporto Dati'!D17="STDH-4",'Servizi di Trasporto Dati'!D17="STDH-5",'Servizi di Trasporto Dati'!D17="STDH-6",'Servizi di Trasporto Dati'!D17="STDH-7",LEFT('Servizi di Trasporto Dati'!D17,4)="STDO"),"Errore: il servizio SCEN non è attivabile per il profilo di trasporto scelto !",IF(E17="Si","Errore: l'opzione Antivirus / Antispyware &amp; Content Filtering non è attivabile !", IF(F17="Si","Errore: l'opzione Application Filtering &amp; Monitoring non è attivabile !", IF(G17="Si","Errore: l'opzione Accesso remoto sicuro VPN non è attivabile !", IF(H17="Si","Errore: l'opzione Web Application Firewall non è attivabile !", IF(I17&lt;&gt;"","Errore: l'opzione Sandbox non è attivabile !", IF(J17&lt;&gt;"","Errore: l'opzione Data Leakage Prevention non è attivabile !", IF(K17="Si","Errore: l'opzione Affidabilità elevata non è attivabile !","OK")))))))),"OK")),"")</f>
        <v/>
      </c>
      <c r="N17" s="133"/>
      <c r="T17" s="1"/>
      <c r="U17" s="1"/>
    </row>
    <row r="18" spans="2:21" s="92" customFormat="1" ht="12.75" customHeight="1" thickBot="1">
      <c r="B18" s="280">
        <v>14</v>
      </c>
      <c r="C18" s="145" t="str">
        <f>CONCATENATE(VLOOKUP(B18,'Dati generali-anagrafici'!$B$41:$D$60,3)," - ",VLOOKUP(B18,'Dati generali-anagrafici'!$B$41:$D$60,2))</f>
        <v xml:space="preserve"> - </v>
      </c>
      <c r="D18" s="144"/>
      <c r="E18" s="144"/>
      <c r="F18" s="144"/>
      <c r="G18" s="144"/>
      <c r="H18" s="144"/>
      <c r="I18" s="153"/>
      <c r="J18" s="144"/>
      <c r="K18" s="144"/>
      <c r="L18" s="144"/>
      <c r="M18" s="279" t="str">
        <f>IF(D18&lt;&gt;"", IF('Servizi di Trasporto Dati'!D18="","Errore: a questa sede non è associato nessun servizio dati !",IF(D18="SCEN", IF(OR('Servizi di Trasporto Dati'!D18="STDH-4",'Servizi di Trasporto Dati'!D18="STDH-5",'Servizi di Trasporto Dati'!D18="STDH-6",'Servizi di Trasporto Dati'!D18="STDH-7",LEFT('Servizi di Trasporto Dati'!D18,4)="STDO"),"Errore: il servizio SCEN non è attivabile per il profilo di trasporto scelto !",IF(E18="Si","Errore: l'opzione Antivirus / Antispyware &amp; Content Filtering non è attivabile !", IF(F18="Si","Errore: l'opzione Application Filtering &amp; Monitoring non è attivabile !", IF(G18="Si","Errore: l'opzione Accesso remoto sicuro VPN non è attivabile !", IF(H18="Si","Errore: l'opzione Web Application Firewall non è attivabile !", IF(I18&lt;&gt;"","Errore: l'opzione Sandbox non è attivabile !", IF(J18&lt;&gt;"","Errore: l'opzione Data Leakage Prevention non è attivabile !", IF(K18="Si","Errore: l'opzione Affidabilità elevata non è attivabile !","OK")))))))),"OK")),"")</f>
        <v/>
      </c>
      <c r="N18" s="133"/>
      <c r="T18" s="1"/>
      <c r="U18" s="1"/>
    </row>
    <row r="19" spans="2:21" s="92" customFormat="1" ht="12.75" customHeight="1" thickBot="1">
      <c r="B19" s="280">
        <v>15</v>
      </c>
      <c r="C19" s="145" t="str">
        <f>CONCATENATE(VLOOKUP(B19,'Dati generali-anagrafici'!$B$41:$D$60,3)," - ",VLOOKUP(B19,'Dati generali-anagrafici'!$B$41:$D$60,2))</f>
        <v xml:space="preserve"> - </v>
      </c>
      <c r="D19" s="144"/>
      <c r="E19" s="144"/>
      <c r="F19" s="144"/>
      <c r="G19" s="144"/>
      <c r="H19" s="144"/>
      <c r="I19" s="153"/>
      <c r="J19" s="144"/>
      <c r="K19" s="144"/>
      <c r="L19" s="144"/>
      <c r="M19" s="279" t="str">
        <f>IF(D19&lt;&gt;"", IF('Servizi di Trasporto Dati'!D19="","Errore: a questa sede non è associato nessun servizio dati !",IF(D19="SCEN", IF(OR('Servizi di Trasporto Dati'!D19="STDH-4",'Servizi di Trasporto Dati'!D19="STDH-5",'Servizi di Trasporto Dati'!D19="STDH-6",'Servizi di Trasporto Dati'!D19="STDH-7",LEFT('Servizi di Trasporto Dati'!D19,4)="STDO"),"Errore: il servizio SCEN non è attivabile per il profilo di trasporto scelto !",IF(E19="Si","Errore: l'opzione Antivirus / Antispyware &amp; Content Filtering non è attivabile !", IF(F19="Si","Errore: l'opzione Application Filtering &amp; Monitoring non è attivabile !", IF(G19="Si","Errore: l'opzione Accesso remoto sicuro VPN non è attivabile !", IF(H19="Si","Errore: l'opzione Web Application Firewall non è attivabile !", IF(I19&lt;&gt;"","Errore: l'opzione Sandbox non è attivabile !", IF(J19&lt;&gt;"","Errore: l'opzione Data Leakage Prevention non è attivabile !", IF(K19="Si","Errore: l'opzione Affidabilità elevata non è attivabile !","OK")))))))),"OK")),"")</f>
        <v/>
      </c>
      <c r="N19" s="133"/>
      <c r="T19" s="1"/>
      <c r="U19" s="1"/>
    </row>
    <row r="20" spans="2:21" s="92" customFormat="1" ht="12.75" customHeight="1" thickBot="1">
      <c r="B20" s="280">
        <v>16</v>
      </c>
      <c r="C20" s="145" t="str">
        <f>CONCATENATE(VLOOKUP(B20,'Dati generali-anagrafici'!$B$41:$D$60,3)," - ",VLOOKUP(B20,'Dati generali-anagrafici'!$B$41:$D$60,2))</f>
        <v xml:space="preserve"> - </v>
      </c>
      <c r="D20" s="144"/>
      <c r="E20" s="144"/>
      <c r="F20" s="144"/>
      <c r="G20" s="144"/>
      <c r="H20" s="144"/>
      <c r="I20" s="153"/>
      <c r="J20" s="144"/>
      <c r="K20" s="144"/>
      <c r="L20" s="144"/>
      <c r="M20" s="279" t="str">
        <f>IF(D20&lt;&gt;"", IF('Servizi di Trasporto Dati'!D20="","Errore: a questa sede non è associato nessun servizio dati !",IF(D20="SCEN", IF(OR('Servizi di Trasporto Dati'!D20="STDH-4",'Servizi di Trasporto Dati'!D20="STDH-5",'Servizi di Trasporto Dati'!D20="STDH-6",'Servizi di Trasporto Dati'!D20="STDH-7",LEFT('Servizi di Trasporto Dati'!D20,4)="STDO"),"Errore: il servizio SCEN non è attivabile per il profilo di trasporto scelto !",IF(E20="Si","Errore: l'opzione Antivirus / Antispyware &amp; Content Filtering non è attivabile !", IF(F20="Si","Errore: l'opzione Application Filtering &amp; Monitoring non è attivabile !", IF(G20="Si","Errore: l'opzione Accesso remoto sicuro VPN non è attivabile !", IF(H20="Si","Errore: l'opzione Web Application Firewall non è attivabile !", IF(I20&lt;&gt;"","Errore: l'opzione Sandbox non è attivabile !", IF(J20&lt;&gt;"","Errore: l'opzione Data Leakage Prevention non è attivabile !", IF(K20="Si","Errore: l'opzione Affidabilità elevata non è attivabile !","OK")))))))),"OK")),"")</f>
        <v/>
      </c>
      <c r="N20" s="133"/>
      <c r="T20" s="1"/>
      <c r="U20" s="1"/>
    </row>
    <row r="21" spans="2:21" s="92" customFormat="1" ht="12.75" customHeight="1" thickBot="1">
      <c r="B21" s="280">
        <v>17</v>
      </c>
      <c r="C21" s="145" t="str">
        <f>CONCATENATE(VLOOKUP(B21,'Dati generali-anagrafici'!$B$41:$D$60,3)," - ",VLOOKUP(B21,'Dati generali-anagrafici'!$B$41:$D$60,2))</f>
        <v xml:space="preserve"> - </v>
      </c>
      <c r="D21" s="144"/>
      <c r="E21" s="144"/>
      <c r="F21" s="144"/>
      <c r="G21" s="144"/>
      <c r="H21" s="144"/>
      <c r="I21" s="153"/>
      <c r="J21" s="144"/>
      <c r="K21" s="144"/>
      <c r="L21" s="144"/>
      <c r="M21" s="279" t="str">
        <f>IF(D21&lt;&gt;"", IF('Servizi di Trasporto Dati'!D21="","Errore: a questa sede non è associato nessun servizio dati !",IF(D21="SCEN", IF(OR('Servizi di Trasporto Dati'!D21="STDH-4",'Servizi di Trasporto Dati'!D21="STDH-5",'Servizi di Trasporto Dati'!D21="STDH-6",'Servizi di Trasporto Dati'!D21="STDH-7",LEFT('Servizi di Trasporto Dati'!D21,4)="STDO"),"Errore: il servizio SCEN non è attivabile per il profilo di trasporto scelto !",IF(E21="Si","Errore: l'opzione Antivirus / Antispyware &amp; Content Filtering non è attivabile !", IF(F21="Si","Errore: l'opzione Application Filtering &amp; Monitoring non è attivabile !", IF(G21="Si","Errore: l'opzione Accesso remoto sicuro VPN non è attivabile !", IF(H21="Si","Errore: l'opzione Web Application Firewall non è attivabile !", IF(I21&lt;&gt;"","Errore: l'opzione Sandbox non è attivabile !", IF(J21&lt;&gt;"","Errore: l'opzione Data Leakage Prevention non è attivabile !", IF(K21="Si","Errore: l'opzione Affidabilità elevata non è attivabile !","OK")))))))),"OK")),"")</f>
        <v/>
      </c>
      <c r="N21" s="133"/>
      <c r="T21" s="1"/>
      <c r="U21" s="1"/>
    </row>
    <row r="22" spans="2:21" s="92" customFormat="1" ht="12.75" customHeight="1" thickBot="1">
      <c r="B22" s="280">
        <v>18</v>
      </c>
      <c r="C22" s="145" t="str">
        <f>CONCATENATE(VLOOKUP(B22,'Dati generali-anagrafici'!$B$41:$D$60,3)," - ",VLOOKUP(B22,'Dati generali-anagrafici'!$B$41:$D$60,2))</f>
        <v xml:space="preserve"> - </v>
      </c>
      <c r="D22" s="144"/>
      <c r="E22" s="144"/>
      <c r="F22" s="144"/>
      <c r="G22" s="144"/>
      <c r="H22" s="144"/>
      <c r="I22" s="153"/>
      <c r="J22" s="144"/>
      <c r="K22" s="144"/>
      <c r="L22" s="144"/>
      <c r="M22" s="279" t="str">
        <f>IF(D22&lt;&gt;"", IF('Servizi di Trasporto Dati'!D22="","Errore: a questa sede non è associato nessun servizio dati !",IF(D22="SCEN", IF(OR('Servizi di Trasporto Dati'!D22="STDH-4",'Servizi di Trasporto Dati'!D22="STDH-5",'Servizi di Trasporto Dati'!D22="STDH-6",'Servizi di Trasporto Dati'!D22="STDH-7",LEFT('Servizi di Trasporto Dati'!D22,4)="STDO"),"Errore: il servizio SCEN non è attivabile per il profilo di trasporto scelto !",IF(E22="Si","Errore: l'opzione Antivirus / Antispyware &amp; Content Filtering non è attivabile !", IF(F22="Si","Errore: l'opzione Application Filtering &amp; Monitoring non è attivabile !", IF(G22="Si","Errore: l'opzione Accesso remoto sicuro VPN non è attivabile !", IF(H22="Si","Errore: l'opzione Web Application Firewall non è attivabile !", IF(I22&lt;&gt;"","Errore: l'opzione Sandbox non è attivabile !", IF(J22&lt;&gt;"","Errore: l'opzione Data Leakage Prevention non è attivabile !", IF(K22="Si","Errore: l'opzione Affidabilità elevata non è attivabile !","OK")))))))),"OK")),"")</f>
        <v/>
      </c>
      <c r="N22" s="133"/>
      <c r="T22" s="1"/>
      <c r="U22" s="1"/>
    </row>
    <row r="23" spans="2:21" s="92" customFormat="1" ht="12.75" customHeight="1" thickBot="1">
      <c r="B23" s="280">
        <v>19</v>
      </c>
      <c r="C23" s="145" t="str">
        <f>CONCATENATE(VLOOKUP(B23,'Dati generali-anagrafici'!$B$41:$D$60,3)," - ",VLOOKUP(B23,'Dati generali-anagrafici'!$B$41:$D$60,2))</f>
        <v xml:space="preserve"> - </v>
      </c>
      <c r="D23" s="144"/>
      <c r="E23" s="144"/>
      <c r="F23" s="144"/>
      <c r="G23" s="144"/>
      <c r="H23" s="144"/>
      <c r="I23" s="153"/>
      <c r="J23" s="144"/>
      <c r="K23" s="144"/>
      <c r="L23" s="144"/>
      <c r="M23" s="279" t="str">
        <f>IF(D23&lt;&gt;"", IF('Servizi di Trasporto Dati'!D23="","Errore: a questa sede non è associato nessun servizio dati !",IF(D23="SCEN", IF(OR('Servizi di Trasporto Dati'!D23="STDH-4",'Servizi di Trasporto Dati'!D23="STDH-5",'Servizi di Trasporto Dati'!D23="STDH-6",'Servizi di Trasporto Dati'!D23="STDH-7",LEFT('Servizi di Trasporto Dati'!D23,4)="STDO"),"Errore: il servizio SCEN non è attivabile per il profilo di trasporto scelto !",IF(E23="Si","Errore: l'opzione Antivirus / Antispyware &amp; Content Filtering non è attivabile !", IF(F23="Si","Errore: l'opzione Application Filtering &amp; Monitoring non è attivabile !", IF(G23="Si","Errore: l'opzione Accesso remoto sicuro VPN non è attivabile !", IF(H23="Si","Errore: l'opzione Web Application Firewall non è attivabile !", IF(I23&lt;&gt;"","Errore: l'opzione Sandbox non è attivabile !", IF(J23&lt;&gt;"","Errore: l'opzione Data Leakage Prevention non è attivabile !", IF(K23="Si","Errore: l'opzione Affidabilità elevata non è attivabile !","OK")))))))),"OK")),"")</f>
        <v/>
      </c>
      <c r="N23" s="133"/>
      <c r="T23" s="1"/>
      <c r="U23" s="1"/>
    </row>
    <row r="24" spans="2:21" s="92" customFormat="1" ht="12.75" customHeight="1" thickBot="1">
      <c r="B24" s="280">
        <v>20</v>
      </c>
      <c r="C24" s="145" t="str">
        <f>CONCATENATE(VLOOKUP(B24,'Dati generali-anagrafici'!$B$41:$D$60,3)," - ",VLOOKUP(B24,'Dati generali-anagrafici'!$B$41:$D$60,2))</f>
        <v xml:space="preserve"> - </v>
      </c>
      <c r="D24" s="144"/>
      <c r="E24" s="144"/>
      <c r="F24" s="144"/>
      <c r="G24" s="144"/>
      <c r="H24" s="144"/>
      <c r="I24" s="153"/>
      <c r="J24" s="144"/>
      <c r="K24" s="144"/>
      <c r="L24" s="144"/>
      <c r="M24" s="279" t="str">
        <f>IF(D24&lt;&gt;"", IF('Servizi di Trasporto Dati'!D24="","Errore: a questa sede non è associato nessun servizio dati !",IF(D24="SCEN", IF(OR('Servizi di Trasporto Dati'!D24="STDH-4",'Servizi di Trasporto Dati'!D24="STDH-5",'Servizi di Trasporto Dati'!D24="STDH-6",'Servizi di Trasporto Dati'!D24="STDH-7",LEFT('Servizi di Trasporto Dati'!D24,4)="STDO"),"Errore: il servizio SCEN non è attivabile per il profilo di trasporto scelto !",IF(E24="Si","Errore: l'opzione Antivirus / Antispyware &amp; Content Filtering non è attivabile !", IF(F24="Si","Errore: l'opzione Application Filtering &amp; Monitoring non è attivabile !", IF(G24="Si","Errore: l'opzione Accesso remoto sicuro VPN non è attivabile !", IF(H24="Si","Errore: l'opzione Web Application Firewall non è attivabile !", IF(I24&lt;&gt;"","Errore: l'opzione Sandbox non è attivabile !", IF(J24&lt;&gt;"","Errore: l'opzione Data Leakage Prevention non è attivabile !", IF(K24="Si","Errore: l'opzione Affidabilità elevata non è attivabile !","OK")))))))),"OK")),"")</f>
        <v/>
      </c>
      <c r="N24" s="133"/>
      <c r="T24" s="1"/>
      <c r="U24" s="1"/>
    </row>
    <row r="25" spans="2:21" ht="30" customHeight="1" thickBot="1">
      <c r="B25" s="330" t="s">
        <v>582</v>
      </c>
      <c r="C25" s="330"/>
      <c r="D25" s="330"/>
      <c r="E25" s="330"/>
      <c r="F25" s="144"/>
    </row>
  </sheetData>
  <sheetProtection sheet="1" objects="1" scenarios="1"/>
  <mergeCells count="13">
    <mergeCell ref="B25:E25"/>
    <mergeCell ref="B2:C3"/>
    <mergeCell ref="D2:D4"/>
    <mergeCell ref="N2:N4"/>
    <mergeCell ref="F3:F4"/>
    <mergeCell ref="E3:E4"/>
    <mergeCell ref="K3:K4"/>
    <mergeCell ref="L3:L4"/>
    <mergeCell ref="G3:G4"/>
    <mergeCell ref="E2:L2"/>
    <mergeCell ref="H3:H4"/>
    <mergeCell ref="I3:I4"/>
    <mergeCell ref="M2:M4"/>
  </mergeCells>
  <phoneticPr fontId="21" type="noConversion"/>
  <conditionalFormatting sqref="C5:C24">
    <cfRule type="cellIs" dxfId="1" priority="1" stopIfTrue="1" operator="equal">
      <formula>0</formula>
    </cfRule>
  </conditionalFormatting>
  <dataValidations count="3">
    <dataValidation type="list" allowBlank="1" showErrorMessage="1" sqref="E5:H24 K5:L24 F25">
      <formula1>$U$2:$U$3</formula1>
    </dataValidation>
    <dataValidation type="list" allowBlank="1" showErrorMessage="1" sqref="D5:D24">
      <formula1>$T$2:$T$8</formula1>
    </dataValidation>
    <dataValidation type="list" allowBlank="1" showErrorMessage="1" sqref="I5:I24">
      <formula1>$V$2:$V$4</formula1>
    </dataValidation>
  </dataValidations>
  <pageMargins left="0.39374999999999999" right="0.39374999999999999" top="0.39374999999999999" bottom="0.39374999999999999" header="0.31527777777777777" footer="0.51180555555555551"/>
  <pageSetup paperSize="9" scale="83" firstPageNumber="0" fitToHeight="0" orientation="landscape" horizontalDpi="300" verticalDpi="300" r:id="rId1"/>
  <headerFooter alignWithMargins="0">
    <oddHeader>&amp;L&amp;"Arial,Grassetto"&amp;12SERVIZI DI SICUREZZA PERIMETRALE</oddHeader>
  </headerFooter>
</worksheet>
</file>

<file path=xl/worksheets/sheet6.xml><?xml version="1.0" encoding="utf-8"?>
<worksheet xmlns="http://schemas.openxmlformats.org/spreadsheetml/2006/main" xmlns:r="http://schemas.openxmlformats.org/officeDocument/2006/relationships">
  <sheetPr>
    <tabColor indexed="17"/>
    <pageSetUpPr fitToPage="1"/>
  </sheetPr>
  <dimension ref="B1:AC109"/>
  <sheetViews>
    <sheetView showGridLines="0" workbookViewId="0">
      <selection activeCell="P18" sqref="P18"/>
    </sheetView>
  </sheetViews>
  <sheetFormatPr defaultColWidth="9.28515625" defaultRowHeight="12.75"/>
  <cols>
    <col min="1" max="1" width="2.5703125" style="1" customWidth="1"/>
    <col min="2" max="2" width="8.7109375" style="1" customWidth="1"/>
    <col min="3" max="3" width="22.7109375" style="49" customWidth="1"/>
    <col min="4" max="12" width="10.5703125" style="1" customWidth="1"/>
    <col min="13" max="13" width="16.5703125" style="1" customWidth="1"/>
    <col min="14" max="14" width="10.28515625" style="1" customWidth="1"/>
    <col min="15" max="15" width="38.28515625" style="1" customWidth="1"/>
    <col min="16" max="16" width="45.7109375" style="1" customWidth="1"/>
    <col min="17" max="18" width="10.5703125" style="1" customWidth="1"/>
    <col min="19" max="19" width="10" style="1" customWidth="1"/>
    <col min="20" max="20" width="11.28515625" style="1" customWidth="1"/>
    <col min="21" max="21" width="10.5703125" style="1" customWidth="1"/>
    <col min="22" max="22" width="10.5703125" style="1" hidden="1" customWidth="1"/>
    <col min="23" max="23" width="6.5703125" style="53" hidden="1" customWidth="1"/>
    <col min="24" max="24" width="8" style="43" hidden="1" customWidth="1"/>
    <col min="25" max="25" width="6.5703125" style="44" hidden="1" customWidth="1"/>
    <col min="26" max="26" width="3" style="1" hidden="1" customWidth="1"/>
    <col min="27" max="27" width="7.42578125" style="1" hidden="1" customWidth="1"/>
    <col min="28" max="29" width="9.28515625" style="1" hidden="1" customWidth="1"/>
    <col min="30" max="32" width="9.28515625" style="1" customWidth="1"/>
    <col min="33" max="16384" width="9.28515625" style="1"/>
  </cols>
  <sheetData>
    <row r="1" spans="2:27" ht="13.5" thickBot="1"/>
    <row r="2" spans="2:27" ht="26.65" customHeight="1">
      <c r="B2" s="354" t="s">
        <v>23</v>
      </c>
      <c r="C2" s="355"/>
      <c r="D2" s="342" t="s">
        <v>132</v>
      </c>
      <c r="E2" s="343"/>
      <c r="F2" s="343"/>
      <c r="G2" s="343"/>
      <c r="H2" s="343"/>
      <c r="I2" s="344"/>
      <c r="J2" s="342" t="s">
        <v>133</v>
      </c>
      <c r="K2" s="343"/>
      <c r="L2" s="344"/>
      <c r="M2" s="347" t="s">
        <v>96</v>
      </c>
      <c r="N2" s="348"/>
      <c r="O2" s="348"/>
      <c r="P2" s="339" t="s">
        <v>10</v>
      </c>
      <c r="R2" s="44"/>
      <c r="W2" s="143" t="s">
        <v>106</v>
      </c>
      <c r="X2" s="143" t="s">
        <v>112</v>
      </c>
      <c r="Y2" s="146" t="s">
        <v>120</v>
      </c>
      <c r="Z2" s="50" t="s">
        <v>83</v>
      </c>
      <c r="AA2" s="50" t="s">
        <v>138</v>
      </c>
    </row>
    <row r="3" spans="2:27" ht="26.65" customHeight="1">
      <c r="B3" s="356"/>
      <c r="C3" s="345"/>
      <c r="D3" s="345" t="s">
        <v>95</v>
      </c>
      <c r="E3" s="357" t="s">
        <v>448</v>
      </c>
      <c r="F3" s="345" t="s">
        <v>94</v>
      </c>
      <c r="G3" s="345"/>
      <c r="H3" s="345"/>
      <c r="I3" s="345"/>
      <c r="J3" s="345" t="s">
        <v>95</v>
      </c>
      <c r="K3" s="357" t="s">
        <v>449</v>
      </c>
      <c r="L3" s="65" t="s">
        <v>136</v>
      </c>
      <c r="M3" s="349"/>
      <c r="N3" s="350"/>
      <c r="O3" s="350"/>
      <c r="P3" s="340"/>
      <c r="R3" s="44"/>
      <c r="W3" s="143" t="s">
        <v>107</v>
      </c>
      <c r="X3" s="143" t="s">
        <v>113</v>
      </c>
      <c r="Y3" s="146" t="s">
        <v>121</v>
      </c>
      <c r="Z3" s="50" t="s">
        <v>84</v>
      </c>
      <c r="AA3" s="50">
        <v>1</v>
      </c>
    </row>
    <row r="4" spans="2:27" s="51" customFormat="1" ht="48" customHeight="1">
      <c r="B4" s="356"/>
      <c r="C4" s="345"/>
      <c r="D4" s="345"/>
      <c r="E4" s="358"/>
      <c r="F4" s="345" t="s">
        <v>450</v>
      </c>
      <c r="G4" s="345" t="s">
        <v>451</v>
      </c>
      <c r="H4" s="345" t="s">
        <v>77</v>
      </c>
      <c r="I4" s="345" t="s">
        <v>22</v>
      </c>
      <c r="J4" s="345"/>
      <c r="K4" s="358"/>
      <c r="L4" s="345" t="s">
        <v>22</v>
      </c>
      <c r="M4" s="349"/>
      <c r="N4" s="350"/>
      <c r="O4" s="350"/>
      <c r="P4" s="340"/>
      <c r="W4" s="143" t="s">
        <v>108</v>
      </c>
      <c r="X4" s="143" t="s">
        <v>114</v>
      </c>
      <c r="Y4" s="146" t="s">
        <v>122</v>
      </c>
      <c r="Z4" s="43"/>
      <c r="AA4" s="50">
        <v>2</v>
      </c>
    </row>
    <row r="5" spans="2:27" s="51" customFormat="1" ht="13.5" thickBot="1">
      <c r="B5" s="75" t="s">
        <v>93</v>
      </c>
      <c r="C5" s="67" t="s">
        <v>16</v>
      </c>
      <c r="D5" s="346"/>
      <c r="E5" s="359"/>
      <c r="F5" s="346"/>
      <c r="G5" s="346"/>
      <c r="H5" s="346"/>
      <c r="I5" s="346"/>
      <c r="J5" s="346"/>
      <c r="K5" s="359"/>
      <c r="L5" s="346"/>
      <c r="M5" s="351"/>
      <c r="N5" s="352"/>
      <c r="O5" s="352"/>
      <c r="P5" s="341"/>
      <c r="W5" s="143" t="s">
        <v>109</v>
      </c>
      <c r="X5" s="143" t="s">
        <v>115</v>
      </c>
      <c r="Y5" s="146" t="s">
        <v>123</v>
      </c>
      <c r="Z5" s="43"/>
      <c r="AA5" s="50">
        <v>3</v>
      </c>
    </row>
    <row r="6" spans="2:27" s="43" customFormat="1" ht="24.75" thickBot="1">
      <c r="B6" s="152">
        <v>1</v>
      </c>
      <c r="C6" s="73" t="str">
        <f>IF(ISERROR(IF(B6="DC FSR","Data Center Fornitore",CONCATENATE(VLOOKUP(B6,'Dati generali-anagrafici'!$B$41:$D$60,3)," - ",VLOOKUP(B6,'Dati generali-anagrafici'!$B$41:$D$60,2)))),"",IF(B6="DC FSR","Data Center Fornitore",CONCATENATE(VLOOKUP(B6,'Dati generali-anagrafici'!$B$41:$D$60,3)," - ",VLOOKUP(B6,'Dati generali-anagrafici'!$B$41:$D$60,2))))</f>
        <v>Trepuzzi - Municipio - Corso Garibaldi n. 10</v>
      </c>
      <c r="D6" s="153"/>
      <c r="E6" s="153"/>
      <c r="F6" s="153"/>
      <c r="G6" s="153"/>
      <c r="H6" s="153"/>
      <c r="I6" s="153"/>
      <c r="J6" s="153"/>
      <c r="K6" s="153"/>
      <c r="L6" s="153"/>
      <c r="M6" s="360" t="str">
        <f>IF(OR(AND(D6="CEIP-1",E6&gt;30),AND(D6="CEIP-2",OR(E6&lt;=30,E6&gt;100)),AND(D6="CEIP-3",OR(E6&lt;=100,E6&gt;300)),AND(D6="CEIP-4",E6&lt;=300)),"Errore: il numero di utenti non è compatibile con il profilo CEIP scelto!",IF(AND(J6&lt;&gt;"",D6=""),"Errore: il servizio Gateway è acquistabile solo se abbinato a un servizio CEIP !",IF(AND(J6&lt;&gt;"",RIGHT(D6,1)&lt;&gt;RIGHT(J6,1)),"Errore: il profilo gateway scelto non è compatibile col numero di utenze indicato !",IF(F6&gt;E6,"Errore: il numero delle utenze per la segreteria telefonica è eccessivo !","OK"))))</f>
        <v>OK</v>
      </c>
      <c r="N6" s="361"/>
      <c r="O6" s="362"/>
      <c r="P6" s="154"/>
      <c r="W6" s="147"/>
      <c r="X6" s="143" t="s">
        <v>116</v>
      </c>
      <c r="Y6" s="147"/>
      <c r="AA6" s="50">
        <v>4</v>
      </c>
    </row>
    <row r="7" spans="2:27" ht="26.25" customHeight="1" thickBot="1">
      <c r="T7" s="53"/>
      <c r="U7" s="43"/>
      <c r="V7" s="44"/>
      <c r="W7" s="148"/>
      <c r="X7" s="143" t="s">
        <v>117</v>
      </c>
      <c r="Y7" s="148"/>
      <c r="Z7" s="43"/>
      <c r="AA7" s="50">
        <v>5</v>
      </c>
    </row>
    <row r="8" spans="2:27" ht="26.65" customHeight="1">
      <c r="B8" s="354" t="s">
        <v>135</v>
      </c>
      <c r="C8" s="355"/>
      <c r="D8" s="355"/>
      <c r="E8" s="376" t="s">
        <v>96</v>
      </c>
      <c r="F8" s="376"/>
      <c r="G8" s="376"/>
      <c r="H8" s="376"/>
      <c r="I8" s="376"/>
      <c r="J8" s="376"/>
      <c r="K8" s="376"/>
      <c r="L8" s="378" t="s">
        <v>10</v>
      </c>
      <c r="M8" s="378"/>
      <c r="N8" s="372"/>
      <c r="S8" s="53"/>
      <c r="T8" s="43"/>
      <c r="U8" s="44"/>
      <c r="V8" s="148"/>
      <c r="X8" s="143" t="s">
        <v>118</v>
      </c>
      <c r="Y8" s="43"/>
      <c r="AA8" s="50">
        <v>6</v>
      </c>
    </row>
    <row r="9" spans="2:27" ht="51.75" thickBot="1">
      <c r="B9" s="75" t="s">
        <v>95</v>
      </c>
      <c r="C9" s="67" t="s">
        <v>111</v>
      </c>
      <c r="D9" s="67" t="s">
        <v>137</v>
      </c>
      <c r="E9" s="377"/>
      <c r="F9" s="377"/>
      <c r="G9" s="377"/>
      <c r="H9" s="377"/>
      <c r="I9" s="377"/>
      <c r="J9" s="377"/>
      <c r="K9" s="377"/>
      <c r="L9" s="379"/>
      <c r="M9" s="379"/>
      <c r="N9" s="374"/>
      <c r="S9" s="53"/>
      <c r="T9" s="43"/>
      <c r="U9" s="44"/>
      <c r="V9" s="147"/>
      <c r="X9" s="143" t="s">
        <v>119</v>
      </c>
      <c r="Y9" s="43"/>
      <c r="AA9" s="50">
        <v>7</v>
      </c>
    </row>
    <row r="10" spans="2:27" ht="13.15" customHeight="1">
      <c r="B10" s="149" t="s">
        <v>124</v>
      </c>
      <c r="C10" s="155"/>
      <c r="D10" s="129"/>
      <c r="E10" s="363" t="str">
        <f>IF(AND(C10&gt;0,$D$6=""),"Errore: il servizio ENIP è acquistabile solo se si acquista un servizio CEIP !","OK")</f>
        <v>OK</v>
      </c>
      <c r="F10" s="363"/>
      <c r="G10" s="363"/>
      <c r="H10" s="363"/>
      <c r="I10" s="363"/>
      <c r="J10" s="363"/>
      <c r="K10" s="363"/>
      <c r="L10" s="364"/>
      <c r="M10" s="364"/>
      <c r="N10" s="365"/>
      <c r="P10" s="43"/>
      <c r="W10" s="1"/>
      <c r="X10" s="1"/>
      <c r="Y10" s="1"/>
      <c r="AA10" s="50">
        <v>8</v>
      </c>
    </row>
    <row r="11" spans="2:27">
      <c r="B11" s="150" t="s">
        <v>125</v>
      </c>
      <c r="C11" s="156"/>
      <c r="D11" s="133"/>
      <c r="E11" s="366" t="str">
        <f t="shared" ref="E11:E18" si="0">IF(AND(C11&gt;0,$D$6=""),"Errore: il servizio ENIP è acquistabile solo se si acquista un servizio CEIP !","OK")</f>
        <v>OK</v>
      </c>
      <c r="F11" s="366"/>
      <c r="G11" s="366"/>
      <c r="H11" s="366"/>
      <c r="I11" s="366"/>
      <c r="J11" s="366"/>
      <c r="K11" s="366"/>
      <c r="L11" s="367"/>
      <c r="M11" s="367"/>
      <c r="N11" s="368"/>
      <c r="W11" s="1"/>
      <c r="X11" s="1"/>
      <c r="Y11" s="1"/>
      <c r="AA11" s="50">
        <v>9</v>
      </c>
    </row>
    <row r="12" spans="2:27" ht="12.75" customHeight="1">
      <c r="B12" s="150" t="s">
        <v>126</v>
      </c>
      <c r="C12" s="156"/>
      <c r="D12" s="133"/>
      <c r="E12" s="366" t="str">
        <f t="shared" si="0"/>
        <v>OK</v>
      </c>
      <c r="F12" s="366"/>
      <c r="G12" s="366"/>
      <c r="H12" s="366"/>
      <c r="I12" s="366"/>
      <c r="J12" s="366"/>
      <c r="K12" s="366"/>
      <c r="L12" s="367"/>
      <c r="M12" s="367"/>
      <c r="N12" s="368"/>
      <c r="W12" s="1"/>
      <c r="X12" s="1"/>
      <c r="Y12" s="1"/>
      <c r="AA12" s="50">
        <v>10</v>
      </c>
    </row>
    <row r="13" spans="2:27">
      <c r="B13" s="150" t="s">
        <v>127</v>
      </c>
      <c r="C13" s="156"/>
      <c r="D13" s="133"/>
      <c r="E13" s="366" t="str">
        <f t="shared" si="0"/>
        <v>OK</v>
      </c>
      <c r="F13" s="366"/>
      <c r="G13" s="366"/>
      <c r="H13" s="366"/>
      <c r="I13" s="366"/>
      <c r="J13" s="366"/>
      <c r="K13" s="366"/>
      <c r="L13" s="367"/>
      <c r="M13" s="367"/>
      <c r="N13" s="368"/>
      <c r="W13" s="1"/>
      <c r="X13" s="1"/>
      <c r="Y13" s="1"/>
      <c r="AA13" s="50">
        <v>11</v>
      </c>
    </row>
    <row r="14" spans="2:27">
      <c r="B14" s="150" t="s">
        <v>128</v>
      </c>
      <c r="C14" s="156"/>
      <c r="D14" s="133"/>
      <c r="E14" s="366" t="str">
        <f t="shared" si="0"/>
        <v>OK</v>
      </c>
      <c r="F14" s="366"/>
      <c r="G14" s="366"/>
      <c r="H14" s="366"/>
      <c r="I14" s="366"/>
      <c r="J14" s="366"/>
      <c r="K14" s="366"/>
      <c r="L14" s="367"/>
      <c r="M14" s="367"/>
      <c r="N14" s="368"/>
      <c r="W14" s="1"/>
      <c r="X14" s="1"/>
      <c r="Y14" s="1"/>
      <c r="AA14" s="50">
        <v>12</v>
      </c>
    </row>
    <row r="15" spans="2:27">
      <c r="B15" s="150" t="s">
        <v>129</v>
      </c>
      <c r="C15" s="156"/>
      <c r="D15" s="133"/>
      <c r="E15" s="366" t="str">
        <f t="shared" si="0"/>
        <v>OK</v>
      </c>
      <c r="F15" s="366"/>
      <c r="G15" s="366"/>
      <c r="H15" s="366"/>
      <c r="I15" s="366"/>
      <c r="J15" s="366"/>
      <c r="K15" s="366"/>
      <c r="L15" s="367"/>
      <c r="M15" s="367"/>
      <c r="N15" s="368"/>
      <c r="W15" s="1"/>
      <c r="X15" s="1"/>
      <c r="Y15" s="1"/>
      <c r="AA15" s="50">
        <v>13</v>
      </c>
    </row>
    <row r="16" spans="2:27">
      <c r="B16" s="150" t="s">
        <v>130</v>
      </c>
      <c r="C16" s="156"/>
      <c r="D16" s="133"/>
      <c r="E16" s="366" t="str">
        <f t="shared" si="0"/>
        <v>OK</v>
      </c>
      <c r="F16" s="366"/>
      <c r="G16" s="366"/>
      <c r="H16" s="366"/>
      <c r="I16" s="366"/>
      <c r="J16" s="366"/>
      <c r="K16" s="366"/>
      <c r="L16" s="367"/>
      <c r="M16" s="367"/>
      <c r="N16" s="368"/>
      <c r="W16" s="1"/>
      <c r="X16" s="1"/>
      <c r="Y16" s="1"/>
      <c r="AA16" s="50">
        <v>14</v>
      </c>
    </row>
    <row r="17" spans="2:27">
      <c r="B17" s="150" t="s">
        <v>131</v>
      </c>
      <c r="C17" s="156"/>
      <c r="D17" s="157"/>
      <c r="E17" s="366" t="str">
        <f>IF(AND(C17&gt;0,$D$6=""),"Errore: il servizio ENIP è acquistabile solo se si acquista un servizio CEIP !","OK")</f>
        <v>OK</v>
      </c>
      <c r="F17" s="366"/>
      <c r="G17" s="366"/>
      <c r="H17" s="366"/>
      <c r="I17" s="366"/>
      <c r="J17" s="366"/>
      <c r="K17" s="366"/>
      <c r="L17" s="367"/>
      <c r="M17" s="367"/>
      <c r="N17" s="368"/>
      <c r="W17" s="1"/>
      <c r="X17" s="1"/>
      <c r="Y17" s="1"/>
      <c r="AA17" s="50">
        <v>15</v>
      </c>
    </row>
    <row r="18" spans="2:27" ht="13.5" thickBot="1">
      <c r="B18" s="151" t="s">
        <v>373</v>
      </c>
      <c r="C18" s="158"/>
      <c r="D18" s="136"/>
      <c r="E18" s="371" t="str">
        <f t="shared" si="0"/>
        <v>OK</v>
      </c>
      <c r="F18" s="371"/>
      <c r="G18" s="371"/>
      <c r="H18" s="371"/>
      <c r="I18" s="371"/>
      <c r="J18" s="371"/>
      <c r="K18" s="371"/>
      <c r="L18" s="369"/>
      <c r="M18" s="369"/>
      <c r="N18" s="370"/>
      <c r="W18" s="1"/>
      <c r="X18" s="1"/>
      <c r="Y18" s="1"/>
      <c r="AA18" s="50">
        <v>16</v>
      </c>
    </row>
    <row r="19" spans="2:27" ht="40.5" customHeight="1" thickBot="1">
      <c r="W19" s="1"/>
      <c r="X19" s="1"/>
      <c r="Y19" s="1"/>
      <c r="AA19" s="50">
        <v>17</v>
      </c>
    </row>
    <row r="20" spans="2:27" ht="12.75" customHeight="1">
      <c r="B20" s="354" t="s">
        <v>23</v>
      </c>
      <c r="C20" s="355"/>
      <c r="D20" s="355" t="s">
        <v>134</v>
      </c>
      <c r="E20" s="355"/>
      <c r="F20" s="355"/>
      <c r="G20" s="355"/>
      <c r="H20" s="355"/>
      <c r="I20" s="347" t="s">
        <v>96</v>
      </c>
      <c r="J20" s="348"/>
      <c r="K20" s="348"/>
      <c r="L20" s="348"/>
      <c r="M20" s="348"/>
      <c r="N20" s="348"/>
      <c r="O20" s="372" t="s">
        <v>10</v>
      </c>
      <c r="Q20" s="91"/>
      <c r="R20" s="91"/>
      <c r="W20" s="1"/>
      <c r="X20" s="1"/>
      <c r="Y20" s="1"/>
      <c r="AA20" s="50">
        <v>18</v>
      </c>
    </row>
    <row r="21" spans="2:27" ht="20.25" customHeight="1">
      <c r="B21" s="356"/>
      <c r="C21" s="345"/>
      <c r="D21" s="345" t="s">
        <v>95</v>
      </c>
      <c r="E21" s="357" t="s">
        <v>448</v>
      </c>
      <c r="F21" s="345" t="s">
        <v>94</v>
      </c>
      <c r="G21" s="345"/>
      <c r="H21" s="345"/>
      <c r="I21" s="349"/>
      <c r="J21" s="350"/>
      <c r="K21" s="350"/>
      <c r="L21" s="350"/>
      <c r="M21" s="350"/>
      <c r="N21" s="350"/>
      <c r="O21" s="373"/>
      <c r="Q21" s="91"/>
      <c r="R21" s="91"/>
      <c r="W21" s="1"/>
      <c r="X21" s="1"/>
      <c r="Y21" s="1"/>
      <c r="AA21" s="50">
        <v>19</v>
      </c>
    </row>
    <row r="22" spans="2:27" ht="44.25" customHeight="1">
      <c r="B22" s="356"/>
      <c r="C22" s="345"/>
      <c r="D22" s="345"/>
      <c r="E22" s="358"/>
      <c r="F22" s="345" t="s">
        <v>451</v>
      </c>
      <c r="G22" s="345" t="s">
        <v>77</v>
      </c>
      <c r="H22" s="345" t="s">
        <v>22</v>
      </c>
      <c r="I22" s="349"/>
      <c r="J22" s="350"/>
      <c r="K22" s="350"/>
      <c r="L22" s="350"/>
      <c r="M22" s="350"/>
      <c r="N22" s="350"/>
      <c r="O22" s="373"/>
      <c r="Q22" s="91"/>
      <c r="R22" s="91"/>
      <c r="W22" s="1"/>
      <c r="X22" s="1"/>
      <c r="Y22" s="1"/>
      <c r="AA22" s="50">
        <v>20</v>
      </c>
    </row>
    <row r="23" spans="2:27" ht="13.5" thickBot="1">
      <c r="B23" s="75" t="s">
        <v>93</v>
      </c>
      <c r="C23" s="67" t="s">
        <v>16</v>
      </c>
      <c r="D23" s="346"/>
      <c r="E23" s="359"/>
      <c r="F23" s="346"/>
      <c r="G23" s="346"/>
      <c r="H23" s="346"/>
      <c r="I23" s="351"/>
      <c r="J23" s="352"/>
      <c r="K23" s="352"/>
      <c r="L23" s="352"/>
      <c r="M23" s="352"/>
      <c r="N23" s="352"/>
      <c r="O23" s="374"/>
      <c r="Q23" s="91"/>
      <c r="R23" s="91"/>
      <c r="W23" s="1"/>
      <c r="X23" s="1"/>
      <c r="Y23" s="1"/>
    </row>
    <row r="24" spans="2:27" ht="24">
      <c r="B24" s="98">
        <v>1</v>
      </c>
      <c r="C24" s="99" t="str">
        <f>CONCATENATE(VLOOKUP(B24,'Dati generali-anagrafici'!$B$41:$D$60,3)," - ",VLOOKUP(B24,'Dati generali-anagrafici'!$B$41:$D$60,2))</f>
        <v>Trepuzzi - Municipio - Corso Garibaldi n. 10</v>
      </c>
      <c r="D24" s="159"/>
      <c r="E24" s="159"/>
      <c r="F24" s="160"/>
      <c r="G24" s="159"/>
      <c r="H24" s="159"/>
      <c r="I24" s="375" t="str">
        <f t="shared" ref="I24:I42" si="1">IF(AND(D24&lt;&gt;"",$D$6=""),"Errore: il servizio RESI è acquistabile solo se abbinato un servizio CEIP !",IF(OR(AND(D24="RESI-1",E24&gt;30),AND(D24="RESI-2",OR(E24&lt;=30,E24&gt;100)),AND(D24="RESI-3",OR(E24&lt;=100,E24&gt;300)),AND(D24="RESI-4",E24&lt;=300)),"Errore: il numero di utenti non è compatibile con il profilo RESI scelto!","OK"))</f>
        <v>OK</v>
      </c>
      <c r="J24" s="375"/>
      <c r="K24" s="375"/>
      <c r="L24" s="375"/>
      <c r="M24" s="375"/>
      <c r="N24" s="375"/>
      <c r="O24" s="161"/>
      <c r="Q24" s="48"/>
      <c r="R24" s="48"/>
      <c r="W24" s="1"/>
      <c r="X24" s="1"/>
      <c r="Y24" s="1"/>
    </row>
    <row r="25" spans="2:27" ht="24">
      <c r="B25" s="68">
        <v>2</v>
      </c>
      <c r="C25" s="54" t="str">
        <f>CONCATENATE(VLOOKUP(B25,'Dati generali-anagrafici'!$B$41:$D$60,3)," - ",VLOOKUP(B25,'Dati generali-anagrafici'!$B$41:$D$60,2))</f>
        <v>Trepuzzi - Polizia Locale - Via Brunetti n. 50</v>
      </c>
      <c r="D25" s="133"/>
      <c r="E25" s="129"/>
      <c r="F25" s="133"/>
      <c r="G25" s="133"/>
      <c r="H25" s="133"/>
      <c r="I25" s="353" t="str">
        <f t="shared" si="1"/>
        <v>OK</v>
      </c>
      <c r="J25" s="353"/>
      <c r="K25" s="353"/>
      <c r="L25" s="353"/>
      <c r="M25" s="353"/>
      <c r="N25" s="353"/>
      <c r="O25" s="162"/>
      <c r="Q25" s="48"/>
      <c r="R25" s="48"/>
      <c r="W25" s="1"/>
      <c r="X25" s="1"/>
      <c r="Y25" s="1"/>
    </row>
    <row r="26" spans="2:27">
      <c r="B26" s="68">
        <v>3</v>
      </c>
      <c r="C26" s="54" t="str">
        <f>CONCATENATE(VLOOKUP(B26,'Dati generali-anagrafici'!$B$41:$D$60,3)," - ",VLOOKUP(B26,'Dati generali-anagrafici'!$B$41:$D$60,2))</f>
        <v xml:space="preserve"> - </v>
      </c>
      <c r="D26" s="133"/>
      <c r="E26" s="133"/>
      <c r="F26" s="133"/>
      <c r="G26" s="133"/>
      <c r="H26" s="133"/>
      <c r="I26" s="353" t="str">
        <f t="shared" si="1"/>
        <v>OK</v>
      </c>
      <c r="J26" s="353"/>
      <c r="K26" s="353"/>
      <c r="L26" s="353"/>
      <c r="M26" s="353"/>
      <c r="N26" s="353"/>
      <c r="O26" s="162"/>
      <c r="Q26" s="48"/>
      <c r="R26" s="48"/>
      <c r="W26" s="1"/>
      <c r="X26" s="1"/>
      <c r="Y26" s="1"/>
    </row>
    <row r="27" spans="2:27">
      <c r="B27" s="68">
        <v>4</v>
      </c>
      <c r="C27" s="54" t="str">
        <f>CONCATENATE(VLOOKUP(B27,'Dati generali-anagrafici'!$B$41:$D$60,3)," - ",VLOOKUP(B27,'Dati generali-anagrafici'!$B$41:$D$60,2))</f>
        <v xml:space="preserve"> - </v>
      </c>
      <c r="D27" s="133"/>
      <c r="E27" s="133"/>
      <c r="F27" s="133"/>
      <c r="G27" s="133"/>
      <c r="H27" s="133"/>
      <c r="I27" s="353" t="str">
        <f t="shared" si="1"/>
        <v>OK</v>
      </c>
      <c r="J27" s="353"/>
      <c r="K27" s="353"/>
      <c r="L27" s="353"/>
      <c r="M27" s="353"/>
      <c r="N27" s="353"/>
      <c r="O27" s="162"/>
      <c r="Q27" s="48"/>
      <c r="R27" s="48"/>
      <c r="W27" s="1"/>
      <c r="X27" s="1"/>
      <c r="Y27" s="1"/>
    </row>
    <row r="28" spans="2:27">
      <c r="B28" s="68">
        <v>5</v>
      </c>
      <c r="C28" s="54" t="str">
        <f>CONCATENATE(VLOOKUP(B28,'Dati generali-anagrafici'!$B$41:$D$60,3)," - ",VLOOKUP(B28,'Dati generali-anagrafici'!$B$41:$D$60,2))</f>
        <v xml:space="preserve"> - </v>
      </c>
      <c r="D28" s="133"/>
      <c r="E28" s="133"/>
      <c r="F28" s="133"/>
      <c r="G28" s="133"/>
      <c r="H28" s="133"/>
      <c r="I28" s="353" t="str">
        <f t="shared" si="1"/>
        <v>OK</v>
      </c>
      <c r="J28" s="353"/>
      <c r="K28" s="353"/>
      <c r="L28" s="353"/>
      <c r="M28" s="353"/>
      <c r="N28" s="353"/>
      <c r="O28" s="162"/>
      <c r="Q28" s="48"/>
      <c r="R28" s="48"/>
      <c r="W28" s="1"/>
      <c r="X28" s="1"/>
      <c r="Y28" s="1"/>
    </row>
    <row r="29" spans="2:27" ht="12.75" customHeight="1">
      <c r="B29" s="68">
        <v>6</v>
      </c>
      <c r="C29" s="54" t="str">
        <f>CONCATENATE(VLOOKUP(B29,'Dati generali-anagrafici'!$B$41:$D$60,3)," - ",VLOOKUP(B29,'Dati generali-anagrafici'!$B$41:$D$60,2))</f>
        <v xml:space="preserve"> - </v>
      </c>
      <c r="D29" s="133"/>
      <c r="E29" s="133"/>
      <c r="F29" s="133"/>
      <c r="G29" s="133"/>
      <c r="H29" s="133"/>
      <c r="I29" s="353" t="str">
        <f t="shared" si="1"/>
        <v>OK</v>
      </c>
      <c r="J29" s="353"/>
      <c r="K29" s="353"/>
      <c r="L29" s="353"/>
      <c r="M29" s="353"/>
      <c r="N29" s="353"/>
      <c r="O29" s="162"/>
      <c r="Q29" s="48"/>
      <c r="R29" s="48"/>
      <c r="W29" s="1"/>
      <c r="X29" s="1"/>
      <c r="Y29" s="1"/>
    </row>
    <row r="30" spans="2:27">
      <c r="B30" s="68">
        <v>7</v>
      </c>
      <c r="C30" s="54" t="str">
        <f>CONCATENATE(VLOOKUP(B30,'Dati generali-anagrafici'!$B$41:$D$60,3)," - ",VLOOKUP(B30,'Dati generali-anagrafici'!$B$41:$D$60,2))</f>
        <v xml:space="preserve"> - </v>
      </c>
      <c r="D30" s="133"/>
      <c r="E30" s="133"/>
      <c r="F30" s="133"/>
      <c r="G30" s="133"/>
      <c r="H30" s="133"/>
      <c r="I30" s="353" t="str">
        <f t="shared" si="1"/>
        <v>OK</v>
      </c>
      <c r="J30" s="353"/>
      <c r="K30" s="353"/>
      <c r="L30" s="353"/>
      <c r="M30" s="353"/>
      <c r="N30" s="353"/>
      <c r="O30" s="162"/>
      <c r="Q30" s="48"/>
      <c r="R30" s="48"/>
      <c r="W30" s="1"/>
      <c r="X30" s="1"/>
      <c r="Y30" s="1"/>
    </row>
    <row r="31" spans="2:27">
      <c r="B31" s="68">
        <v>8</v>
      </c>
      <c r="C31" s="54" t="str">
        <f>CONCATENATE(VLOOKUP(B31,'Dati generali-anagrafici'!$B$41:$D$60,3)," - ",VLOOKUP(B31,'Dati generali-anagrafici'!$B$41:$D$60,2))</f>
        <v xml:space="preserve"> - </v>
      </c>
      <c r="D31" s="133"/>
      <c r="E31" s="133"/>
      <c r="F31" s="133"/>
      <c r="G31" s="133"/>
      <c r="H31" s="133"/>
      <c r="I31" s="353" t="str">
        <f t="shared" si="1"/>
        <v>OK</v>
      </c>
      <c r="J31" s="353"/>
      <c r="K31" s="353"/>
      <c r="L31" s="353"/>
      <c r="M31" s="353"/>
      <c r="N31" s="353"/>
      <c r="O31" s="162"/>
      <c r="Q31" s="48"/>
      <c r="R31" s="48"/>
      <c r="W31" s="1"/>
      <c r="X31" s="1"/>
      <c r="Y31" s="1"/>
    </row>
    <row r="32" spans="2:27">
      <c r="B32" s="68">
        <v>9</v>
      </c>
      <c r="C32" s="54" t="str">
        <f>CONCATENATE(VLOOKUP(B32,'Dati generali-anagrafici'!$B$41:$D$60,3)," - ",VLOOKUP(B32,'Dati generali-anagrafici'!$B$41:$D$60,2))</f>
        <v xml:space="preserve"> - </v>
      </c>
      <c r="D32" s="133"/>
      <c r="E32" s="133"/>
      <c r="F32" s="133"/>
      <c r="G32" s="133"/>
      <c r="H32" s="133"/>
      <c r="I32" s="353" t="str">
        <f t="shared" si="1"/>
        <v>OK</v>
      </c>
      <c r="J32" s="353"/>
      <c r="K32" s="353"/>
      <c r="L32" s="353"/>
      <c r="M32" s="353"/>
      <c r="N32" s="353"/>
      <c r="O32" s="162"/>
      <c r="Q32" s="48"/>
      <c r="R32" s="48"/>
      <c r="W32" s="1"/>
      <c r="X32" s="1"/>
      <c r="Y32" s="1"/>
    </row>
    <row r="33" spans="2:25">
      <c r="B33" s="68">
        <v>10</v>
      </c>
      <c r="C33" s="54" t="str">
        <f>CONCATENATE(VLOOKUP(B33,'Dati generali-anagrafici'!$B$41:$D$60,3)," - ",VLOOKUP(B33,'Dati generali-anagrafici'!$B$41:$D$60,2))</f>
        <v xml:space="preserve"> - </v>
      </c>
      <c r="D33" s="133"/>
      <c r="E33" s="133"/>
      <c r="F33" s="133"/>
      <c r="G33" s="133"/>
      <c r="H33" s="133"/>
      <c r="I33" s="353" t="str">
        <f t="shared" si="1"/>
        <v>OK</v>
      </c>
      <c r="J33" s="353"/>
      <c r="K33" s="353"/>
      <c r="L33" s="353"/>
      <c r="M33" s="353"/>
      <c r="N33" s="353"/>
      <c r="O33" s="162"/>
      <c r="Q33" s="48"/>
      <c r="R33" s="48"/>
      <c r="W33" s="1"/>
      <c r="X33" s="1"/>
      <c r="Y33" s="1"/>
    </row>
    <row r="34" spans="2:25">
      <c r="B34" s="68">
        <v>11</v>
      </c>
      <c r="C34" s="54" t="str">
        <f>CONCATENATE(VLOOKUP(B34,'Dati generali-anagrafici'!$B$41:$D$60,3)," - ",VLOOKUP(B34,'Dati generali-anagrafici'!$B$41:$D$60,2))</f>
        <v xml:space="preserve"> - </v>
      </c>
      <c r="D34" s="133"/>
      <c r="E34" s="133"/>
      <c r="F34" s="133"/>
      <c r="G34" s="133"/>
      <c r="H34" s="133"/>
      <c r="I34" s="353" t="str">
        <f t="shared" si="1"/>
        <v>OK</v>
      </c>
      <c r="J34" s="353"/>
      <c r="K34" s="353"/>
      <c r="L34" s="353"/>
      <c r="M34" s="353"/>
      <c r="N34" s="353"/>
      <c r="O34" s="162"/>
      <c r="Q34" s="48"/>
      <c r="R34" s="48"/>
      <c r="W34" s="1"/>
      <c r="X34" s="1"/>
      <c r="Y34" s="1"/>
    </row>
    <row r="35" spans="2:25">
      <c r="B35" s="68">
        <v>12</v>
      </c>
      <c r="C35" s="54" t="str">
        <f>CONCATENATE(VLOOKUP(B35,'Dati generali-anagrafici'!$B$41:$D$60,3)," - ",VLOOKUP(B35,'Dati generali-anagrafici'!$B$41:$D$60,2))</f>
        <v xml:space="preserve"> - </v>
      </c>
      <c r="D35" s="133"/>
      <c r="E35" s="133"/>
      <c r="F35" s="133"/>
      <c r="G35" s="133"/>
      <c r="H35" s="133"/>
      <c r="I35" s="353" t="str">
        <f t="shared" si="1"/>
        <v>OK</v>
      </c>
      <c r="J35" s="353"/>
      <c r="K35" s="353"/>
      <c r="L35" s="353"/>
      <c r="M35" s="353"/>
      <c r="N35" s="353"/>
      <c r="O35" s="162"/>
      <c r="Q35" s="48"/>
      <c r="R35" s="48"/>
      <c r="W35" s="1"/>
      <c r="X35" s="1"/>
      <c r="Y35" s="1"/>
    </row>
    <row r="36" spans="2:25">
      <c r="B36" s="68">
        <v>13</v>
      </c>
      <c r="C36" s="54" t="str">
        <f>CONCATENATE(VLOOKUP(B36,'Dati generali-anagrafici'!$B$41:$D$60,3)," - ",VLOOKUP(B36,'Dati generali-anagrafici'!$B$41:$D$60,2))</f>
        <v xml:space="preserve"> - </v>
      </c>
      <c r="D36" s="133"/>
      <c r="E36" s="133"/>
      <c r="F36" s="133"/>
      <c r="G36" s="133"/>
      <c r="H36" s="133"/>
      <c r="I36" s="353" t="str">
        <f t="shared" si="1"/>
        <v>OK</v>
      </c>
      <c r="J36" s="353"/>
      <c r="K36" s="353"/>
      <c r="L36" s="353"/>
      <c r="M36" s="353"/>
      <c r="N36" s="353"/>
      <c r="O36" s="162"/>
      <c r="Q36" s="48"/>
      <c r="R36" s="48"/>
      <c r="W36" s="1"/>
      <c r="X36" s="1"/>
      <c r="Y36" s="1"/>
    </row>
    <row r="37" spans="2:25">
      <c r="B37" s="68">
        <v>14</v>
      </c>
      <c r="C37" s="54" t="str">
        <f>CONCATENATE(VLOOKUP(B37,'Dati generali-anagrafici'!$B$41:$D$60,3)," - ",VLOOKUP(B37,'Dati generali-anagrafici'!$B$41:$D$60,2))</f>
        <v xml:space="preserve"> - </v>
      </c>
      <c r="D37" s="133"/>
      <c r="E37" s="133"/>
      <c r="F37" s="133"/>
      <c r="G37" s="133"/>
      <c r="H37" s="133"/>
      <c r="I37" s="353" t="str">
        <f t="shared" si="1"/>
        <v>OK</v>
      </c>
      <c r="J37" s="353"/>
      <c r="K37" s="353"/>
      <c r="L37" s="353"/>
      <c r="M37" s="353"/>
      <c r="N37" s="353"/>
      <c r="O37" s="162"/>
      <c r="Q37" s="48"/>
      <c r="R37" s="48"/>
      <c r="W37" s="1"/>
      <c r="X37" s="1"/>
      <c r="Y37" s="1"/>
    </row>
    <row r="38" spans="2:25">
      <c r="B38" s="68">
        <v>15</v>
      </c>
      <c r="C38" s="54" t="str">
        <f>CONCATENATE(VLOOKUP(B38,'Dati generali-anagrafici'!$B$41:$D$60,3)," - ",VLOOKUP(B38,'Dati generali-anagrafici'!$B$41:$D$60,2))</f>
        <v xml:space="preserve"> - </v>
      </c>
      <c r="D38" s="133"/>
      <c r="E38" s="133"/>
      <c r="F38" s="133"/>
      <c r="G38" s="133"/>
      <c r="H38" s="133"/>
      <c r="I38" s="353" t="str">
        <f t="shared" si="1"/>
        <v>OK</v>
      </c>
      <c r="J38" s="353"/>
      <c r="K38" s="353"/>
      <c r="L38" s="353"/>
      <c r="M38" s="353"/>
      <c r="N38" s="353"/>
      <c r="O38" s="162"/>
      <c r="Q38" s="48"/>
      <c r="R38" s="48"/>
      <c r="W38" s="1"/>
      <c r="X38" s="1"/>
      <c r="Y38" s="1"/>
    </row>
    <row r="39" spans="2:25">
      <c r="B39" s="68">
        <v>16</v>
      </c>
      <c r="C39" s="54" t="str">
        <f>CONCATENATE(VLOOKUP(B39,'Dati generali-anagrafici'!$B$41:$D$60,3)," - ",VLOOKUP(B39,'Dati generali-anagrafici'!$B$41:$D$60,2))</f>
        <v xml:space="preserve"> - </v>
      </c>
      <c r="D39" s="133"/>
      <c r="E39" s="133"/>
      <c r="F39" s="133"/>
      <c r="G39" s="133"/>
      <c r="H39" s="133"/>
      <c r="I39" s="353" t="str">
        <f t="shared" si="1"/>
        <v>OK</v>
      </c>
      <c r="J39" s="353"/>
      <c r="K39" s="353"/>
      <c r="L39" s="353"/>
      <c r="M39" s="353"/>
      <c r="N39" s="353"/>
      <c r="O39" s="162"/>
      <c r="Q39" s="48"/>
      <c r="R39" s="48"/>
      <c r="W39" s="1"/>
      <c r="X39" s="1"/>
      <c r="Y39" s="1"/>
    </row>
    <row r="40" spans="2:25">
      <c r="B40" s="68">
        <v>17</v>
      </c>
      <c r="C40" s="54" t="str">
        <f>CONCATENATE(VLOOKUP(B40,'Dati generali-anagrafici'!$B$41:$D$60,3)," - ",VLOOKUP(B40,'Dati generali-anagrafici'!$B$41:$D$60,2))</f>
        <v xml:space="preserve"> - </v>
      </c>
      <c r="D40" s="133"/>
      <c r="E40" s="133"/>
      <c r="F40" s="133"/>
      <c r="G40" s="133"/>
      <c r="H40" s="133"/>
      <c r="I40" s="353" t="str">
        <f t="shared" si="1"/>
        <v>OK</v>
      </c>
      <c r="J40" s="353"/>
      <c r="K40" s="353"/>
      <c r="L40" s="353"/>
      <c r="M40" s="353"/>
      <c r="N40" s="353"/>
      <c r="O40" s="162"/>
      <c r="Q40" s="48"/>
      <c r="R40" s="48"/>
      <c r="W40" s="1"/>
      <c r="X40" s="1"/>
      <c r="Y40" s="1"/>
    </row>
    <row r="41" spans="2:25">
      <c r="B41" s="68">
        <v>18</v>
      </c>
      <c r="C41" s="54" t="str">
        <f>CONCATENATE(VLOOKUP(B41,'Dati generali-anagrafici'!$B$41:$D$60,3)," - ",VLOOKUP(B41,'Dati generali-anagrafici'!$B$41:$D$60,2))</f>
        <v xml:space="preserve"> - </v>
      </c>
      <c r="D41" s="133"/>
      <c r="E41" s="133"/>
      <c r="F41" s="133"/>
      <c r="G41" s="133"/>
      <c r="H41" s="133"/>
      <c r="I41" s="353" t="str">
        <f t="shared" si="1"/>
        <v>OK</v>
      </c>
      <c r="J41" s="353"/>
      <c r="K41" s="353"/>
      <c r="L41" s="353"/>
      <c r="M41" s="353"/>
      <c r="N41" s="353"/>
      <c r="O41" s="162"/>
      <c r="Q41" s="48"/>
      <c r="R41" s="48"/>
      <c r="W41" s="1"/>
      <c r="X41" s="1"/>
      <c r="Y41" s="1"/>
    </row>
    <row r="42" spans="2:25">
      <c r="B42" s="68">
        <v>19</v>
      </c>
      <c r="C42" s="54" t="str">
        <f>CONCATENATE(VLOOKUP(B42,'Dati generali-anagrafici'!$B$41:$D$60,3)," - ",VLOOKUP(B42,'Dati generali-anagrafici'!$B$41:$D$60,2))</f>
        <v xml:space="preserve"> - </v>
      </c>
      <c r="D42" s="133"/>
      <c r="E42" s="133"/>
      <c r="F42" s="133"/>
      <c r="G42" s="133"/>
      <c r="H42" s="133"/>
      <c r="I42" s="353" t="str">
        <f t="shared" si="1"/>
        <v>OK</v>
      </c>
      <c r="J42" s="353"/>
      <c r="K42" s="353"/>
      <c r="L42" s="353"/>
      <c r="M42" s="353"/>
      <c r="N42" s="353"/>
      <c r="O42" s="162"/>
      <c r="Q42" s="48"/>
      <c r="R42" s="48"/>
      <c r="W42" s="1"/>
      <c r="X42" s="1"/>
      <c r="Y42" s="1"/>
    </row>
    <row r="43" spans="2:25" ht="13.5" thickBot="1">
      <c r="B43" s="69">
        <v>20</v>
      </c>
      <c r="C43" s="58" t="str">
        <f>CONCATENATE(VLOOKUP(B43,'Dati generali-anagrafici'!$B$41:$D$60,3)," - ",VLOOKUP(B43,'Dati generali-anagrafici'!$B$41:$D$60,2))</f>
        <v xml:space="preserve"> - </v>
      </c>
      <c r="D43" s="136"/>
      <c r="E43" s="136"/>
      <c r="F43" s="136"/>
      <c r="G43" s="136"/>
      <c r="H43" s="136"/>
      <c r="I43" s="338" t="str">
        <f>IF(AND(D43&lt;&gt;"",$D$6=""),"Errore: il servizio RESI è acquistabile solo se abbinato un servizio CEIP !",IF(OR(AND(D43="RESI-1",E43&gt;30),AND(D43="RESI-2",OR(E43&lt;=30,E43&gt;100)),AND(D43="RESI-3",OR(E43&lt;=100,E43&gt;300)),AND(D43="RESI-4",E43&lt;=300)),"Errore: il numero di utenti non è compatibile con il profilo RESI scelto!","OK"))</f>
        <v>OK</v>
      </c>
      <c r="J43" s="338"/>
      <c r="K43" s="338"/>
      <c r="L43" s="338"/>
      <c r="M43" s="338"/>
      <c r="N43" s="338"/>
      <c r="O43" s="163"/>
      <c r="Q43" s="48"/>
      <c r="R43" s="48"/>
      <c r="W43" s="1"/>
      <c r="X43" s="1"/>
      <c r="Y43" s="1"/>
    </row>
    <row r="44" spans="2:25">
      <c r="Q44" s="48"/>
      <c r="R44" s="48"/>
      <c r="W44" s="1"/>
      <c r="X44" s="1"/>
      <c r="Y44" s="1"/>
    </row>
    <row r="45" spans="2:25">
      <c r="Q45" s="48"/>
      <c r="R45" s="48"/>
      <c r="W45" s="1"/>
      <c r="X45" s="1"/>
      <c r="Y45" s="1"/>
    </row>
    <row r="46" spans="2:25">
      <c r="Q46" s="48"/>
      <c r="R46" s="48"/>
      <c r="W46" s="1"/>
      <c r="X46" s="1"/>
      <c r="Y46" s="1"/>
    </row>
    <row r="47" spans="2:25">
      <c r="Q47" s="48"/>
      <c r="R47" s="48"/>
      <c r="W47" s="1"/>
      <c r="X47" s="1"/>
      <c r="Y47" s="1"/>
    </row>
    <row r="48" spans="2:25">
      <c r="Q48" s="48"/>
      <c r="R48" s="48"/>
      <c r="W48" s="1"/>
      <c r="X48" s="1"/>
      <c r="Y48" s="1"/>
    </row>
    <row r="49" spans="17:25">
      <c r="Q49" s="48"/>
      <c r="R49" s="48"/>
      <c r="W49" s="1"/>
      <c r="X49" s="1"/>
      <c r="Y49" s="1"/>
    </row>
    <row r="50" spans="17:25">
      <c r="Q50" s="48"/>
      <c r="R50" s="48"/>
      <c r="W50" s="1"/>
      <c r="X50" s="1"/>
      <c r="Y50" s="1"/>
    </row>
    <row r="51" spans="17:25">
      <c r="Q51" s="48"/>
      <c r="R51" s="48"/>
      <c r="W51" s="1"/>
      <c r="X51" s="1"/>
      <c r="Y51" s="1"/>
    </row>
    <row r="52" spans="17:25">
      <c r="Q52" s="48"/>
      <c r="R52" s="48"/>
      <c r="W52" s="1"/>
      <c r="X52" s="1"/>
      <c r="Y52" s="1"/>
    </row>
    <row r="53" spans="17:25">
      <c r="Q53" s="48"/>
      <c r="R53" s="48"/>
      <c r="W53" s="1"/>
      <c r="X53" s="1"/>
      <c r="Y53" s="1"/>
    </row>
    <row r="54" spans="17:25">
      <c r="Q54" s="48"/>
      <c r="R54" s="48"/>
      <c r="W54" s="1"/>
      <c r="X54" s="1"/>
      <c r="Y54" s="1"/>
    </row>
    <row r="55" spans="17:25">
      <c r="Q55" s="48"/>
      <c r="R55" s="48"/>
      <c r="W55" s="1"/>
      <c r="X55" s="1"/>
      <c r="Y55" s="1"/>
    </row>
    <row r="56" spans="17:25">
      <c r="Q56" s="48"/>
      <c r="R56" s="48"/>
      <c r="W56" s="1"/>
      <c r="X56" s="1"/>
      <c r="Y56" s="1"/>
    </row>
    <row r="57" spans="17:25">
      <c r="Q57" s="48"/>
      <c r="R57" s="48"/>
      <c r="W57" s="1"/>
      <c r="X57" s="1"/>
      <c r="Y57" s="1"/>
    </row>
    <row r="58" spans="17:25">
      <c r="Q58" s="48"/>
      <c r="R58" s="48"/>
      <c r="W58" s="1"/>
      <c r="X58" s="1"/>
      <c r="Y58" s="1"/>
    </row>
    <row r="59" spans="17:25">
      <c r="Q59" s="48"/>
      <c r="R59" s="48"/>
      <c r="W59" s="1"/>
      <c r="X59" s="1"/>
      <c r="Y59" s="1"/>
    </row>
    <row r="60" spans="17:25">
      <c r="Q60" s="48"/>
      <c r="R60" s="48"/>
      <c r="W60" s="1"/>
      <c r="X60" s="1"/>
      <c r="Y60" s="1"/>
    </row>
    <row r="61" spans="17:25">
      <c r="Q61" s="48"/>
      <c r="R61" s="48"/>
      <c r="W61" s="1"/>
      <c r="X61" s="1"/>
      <c r="Y61" s="1"/>
    </row>
    <row r="62" spans="17:25">
      <c r="Q62" s="48"/>
      <c r="R62" s="48"/>
      <c r="W62" s="1"/>
      <c r="X62" s="1"/>
      <c r="Y62" s="1"/>
    </row>
    <row r="63" spans="17:25">
      <c r="Q63" s="48"/>
      <c r="R63" s="48"/>
      <c r="W63" s="1"/>
      <c r="X63" s="1"/>
      <c r="Y63" s="1"/>
    </row>
    <row r="64" spans="17:25">
      <c r="Q64" s="48"/>
      <c r="R64" s="48"/>
      <c r="W64" s="1"/>
      <c r="X64" s="1"/>
      <c r="Y64" s="1"/>
    </row>
    <row r="65" spans="17:25">
      <c r="Q65" s="48"/>
      <c r="R65" s="48"/>
      <c r="W65" s="1"/>
      <c r="X65" s="1"/>
      <c r="Y65" s="1"/>
    </row>
    <row r="66" spans="17:25">
      <c r="Q66" s="48"/>
      <c r="R66" s="48"/>
      <c r="W66" s="1"/>
      <c r="X66" s="1"/>
      <c r="Y66" s="1"/>
    </row>
    <row r="67" spans="17:25">
      <c r="Q67" s="48"/>
      <c r="R67" s="48"/>
      <c r="W67" s="1"/>
      <c r="X67" s="1"/>
      <c r="Y67" s="1"/>
    </row>
    <row r="68" spans="17:25">
      <c r="Q68" s="48"/>
      <c r="R68" s="48"/>
      <c r="W68" s="1"/>
      <c r="X68" s="1"/>
      <c r="Y68" s="1"/>
    </row>
    <row r="69" spans="17:25">
      <c r="Q69" s="48"/>
      <c r="R69" s="48"/>
      <c r="W69" s="1"/>
      <c r="X69" s="1"/>
      <c r="Y69" s="1"/>
    </row>
    <row r="70" spans="17:25">
      <c r="Q70" s="48"/>
      <c r="R70" s="48"/>
      <c r="W70" s="1"/>
      <c r="X70" s="1"/>
      <c r="Y70" s="1"/>
    </row>
    <row r="71" spans="17:25">
      <c r="Q71" s="48"/>
      <c r="R71" s="48"/>
      <c r="W71" s="1"/>
      <c r="X71" s="1"/>
      <c r="Y71" s="1"/>
    </row>
    <row r="72" spans="17:25">
      <c r="Q72" s="48"/>
      <c r="R72" s="48"/>
      <c r="W72" s="1"/>
      <c r="X72" s="1"/>
      <c r="Y72" s="1"/>
    </row>
    <row r="73" spans="17:25">
      <c r="Q73" s="48"/>
      <c r="R73" s="48"/>
      <c r="W73" s="1"/>
      <c r="X73" s="1"/>
      <c r="Y73" s="1"/>
    </row>
    <row r="74" spans="17:25">
      <c r="Q74" s="48"/>
      <c r="R74" s="48"/>
      <c r="W74" s="1"/>
      <c r="X74" s="1"/>
      <c r="Y74" s="1"/>
    </row>
    <row r="75" spans="17:25">
      <c r="Q75" s="48"/>
      <c r="R75" s="48"/>
      <c r="W75" s="1"/>
      <c r="X75" s="1"/>
      <c r="Y75" s="1"/>
    </row>
    <row r="76" spans="17:25">
      <c r="Q76" s="48"/>
      <c r="R76" s="48"/>
      <c r="W76" s="1"/>
      <c r="X76" s="1"/>
      <c r="Y76" s="1"/>
    </row>
    <row r="77" spans="17:25">
      <c r="Q77" s="48"/>
      <c r="R77" s="48"/>
      <c r="W77" s="1"/>
      <c r="X77" s="1"/>
      <c r="Y77" s="1"/>
    </row>
    <row r="78" spans="17:25">
      <c r="Q78" s="48"/>
      <c r="R78" s="48"/>
      <c r="W78" s="1"/>
      <c r="X78" s="1"/>
      <c r="Y78" s="1"/>
    </row>
    <row r="79" spans="17:25">
      <c r="Q79" s="48"/>
      <c r="R79" s="48"/>
      <c r="W79" s="1"/>
      <c r="X79" s="1"/>
      <c r="Y79" s="1"/>
    </row>
    <row r="80" spans="17:25">
      <c r="Q80" s="48"/>
      <c r="R80" s="48"/>
      <c r="W80" s="1"/>
      <c r="X80" s="1"/>
      <c r="Y80" s="1"/>
    </row>
    <row r="81" spans="17:25">
      <c r="Q81" s="48"/>
      <c r="R81" s="48"/>
      <c r="W81" s="1"/>
      <c r="X81" s="1"/>
      <c r="Y81" s="1"/>
    </row>
    <row r="82" spans="17:25">
      <c r="Q82" s="48"/>
      <c r="R82" s="48"/>
      <c r="W82" s="1"/>
      <c r="X82" s="1"/>
      <c r="Y82" s="1"/>
    </row>
    <row r="83" spans="17:25">
      <c r="Q83" s="48"/>
      <c r="R83" s="48"/>
      <c r="W83" s="1"/>
      <c r="X83" s="1"/>
      <c r="Y83" s="1"/>
    </row>
    <row r="84" spans="17:25">
      <c r="Q84" s="48"/>
      <c r="R84" s="48"/>
      <c r="W84" s="1"/>
      <c r="X84" s="1"/>
      <c r="Y84" s="1"/>
    </row>
    <row r="85" spans="17:25">
      <c r="Q85" s="48"/>
      <c r="R85" s="48"/>
      <c r="W85" s="1"/>
      <c r="X85" s="1"/>
      <c r="Y85" s="1"/>
    </row>
    <row r="86" spans="17:25">
      <c r="Q86" s="48"/>
      <c r="R86" s="48"/>
      <c r="W86" s="1"/>
      <c r="X86" s="1"/>
      <c r="Y86" s="1"/>
    </row>
    <row r="87" spans="17:25">
      <c r="Q87" s="48"/>
      <c r="R87" s="48"/>
      <c r="W87" s="1"/>
      <c r="X87" s="1"/>
      <c r="Y87" s="1"/>
    </row>
    <row r="88" spans="17:25">
      <c r="Q88" s="48"/>
      <c r="R88" s="48"/>
      <c r="W88" s="1"/>
      <c r="X88" s="1"/>
      <c r="Y88" s="1"/>
    </row>
    <row r="89" spans="17:25">
      <c r="Q89" s="48"/>
      <c r="R89" s="48"/>
      <c r="W89" s="1"/>
      <c r="X89" s="1"/>
      <c r="Y89" s="1"/>
    </row>
    <row r="90" spans="17:25">
      <c r="Q90" s="48"/>
      <c r="R90" s="48"/>
      <c r="W90" s="1"/>
      <c r="X90" s="1"/>
      <c r="Y90" s="1"/>
    </row>
    <row r="91" spans="17:25">
      <c r="Q91" s="48"/>
      <c r="R91" s="48"/>
      <c r="W91" s="1"/>
      <c r="X91" s="1"/>
      <c r="Y91" s="1"/>
    </row>
    <row r="92" spans="17:25">
      <c r="Q92" s="48"/>
      <c r="R92" s="48"/>
      <c r="W92" s="1"/>
      <c r="X92" s="1"/>
      <c r="Y92" s="1"/>
    </row>
    <row r="93" spans="17:25">
      <c r="Q93" s="48"/>
      <c r="R93" s="48"/>
      <c r="W93" s="1"/>
      <c r="X93" s="1"/>
      <c r="Y93" s="1"/>
    </row>
    <row r="94" spans="17:25">
      <c r="Q94" s="48"/>
      <c r="R94" s="48"/>
      <c r="W94" s="1"/>
      <c r="X94" s="1"/>
      <c r="Y94" s="1"/>
    </row>
    <row r="95" spans="17:25">
      <c r="Q95" s="48"/>
      <c r="R95" s="48"/>
      <c r="W95" s="1"/>
      <c r="X95" s="1"/>
      <c r="Y95" s="1"/>
    </row>
    <row r="96" spans="17:25">
      <c r="Q96" s="48"/>
      <c r="R96" s="48"/>
      <c r="W96" s="1"/>
      <c r="X96" s="1"/>
      <c r="Y96" s="1"/>
    </row>
    <row r="97" spans="17:25">
      <c r="Q97" s="48"/>
      <c r="R97" s="48"/>
      <c r="W97" s="1"/>
      <c r="X97" s="1"/>
      <c r="Y97" s="1"/>
    </row>
    <row r="98" spans="17:25">
      <c r="Q98" s="48"/>
      <c r="R98" s="48"/>
      <c r="W98" s="1"/>
      <c r="X98" s="1"/>
      <c r="Y98" s="1"/>
    </row>
    <row r="99" spans="17:25">
      <c r="Q99" s="48"/>
      <c r="R99" s="48"/>
      <c r="W99" s="1"/>
      <c r="X99" s="1"/>
      <c r="Y99" s="1"/>
    </row>
    <row r="100" spans="17:25" ht="13.15" customHeight="1">
      <c r="Q100" s="48"/>
      <c r="R100" s="48"/>
      <c r="W100" s="1"/>
      <c r="X100" s="1"/>
      <c r="Y100" s="1"/>
    </row>
    <row r="101" spans="17:25">
      <c r="Q101" s="48"/>
      <c r="R101" s="48"/>
      <c r="W101" s="1"/>
      <c r="X101" s="1"/>
      <c r="Y101" s="1"/>
    </row>
    <row r="102" spans="17:25" ht="10.15" customHeight="1">
      <c r="Q102" s="48"/>
      <c r="R102" s="48"/>
      <c r="W102" s="1"/>
      <c r="X102" s="1"/>
      <c r="Y102" s="1"/>
    </row>
    <row r="103" spans="17:25">
      <c r="Q103" s="48"/>
      <c r="R103" s="48"/>
      <c r="W103" s="1"/>
      <c r="X103" s="1"/>
      <c r="Y103" s="1"/>
    </row>
    <row r="104" spans="17:25" ht="11.25">
      <c r="W104" s="1"/>
      <c r="X104" s="1"/>
      <c r="Y104" s="1"/>
    </row>
    <row r="105" spans="17:25" ht="11.25">
      <c r="W105" s="1"/>
      <c r="X105" s="1"/>
      <c r="Y105" s="1"/>
    </row>
    <row r="106" spans="17:25" ht="11.25">
      <c r="W106" s="1"/>
      <c r="X106" s="1"/>
      <c r="Y106" s="1"/>
    </row>
    <row r="107" spans="17:25" ht="11.25">
      <c r="W107" s="1"/>
      <c r="X107" s="1"/>
      <c r="Y107" s="1"/>
    </row>
    <row r="108" spans="17:25" ht="11.25">
      <c r="W108" s="1"/>
      <c r="X108" s="1"/>
      <c r="Y108" s="1"/>
    </row>
    <row r="109" spans="17:25" ht="11.25">
      <c r="W109" s="1"/>
      <c r="X109" s="1"/>
      <c r="Y109" s="1"/>
    </row>
  </sheetData>
  <sheetProtection password="CCF0" sheet="1" objects="1" scenarios="1"/>
  <mergeCells count="67">
    <mergeCell ref="B20:C22"/>
    <mergeCell ref="D20:H20"/>
    <mergeCell ref="D21:D23"/>
    <mergeCell ref="F21:H21"/>
    <mergeCell ref="F22:F23"/>
    <mergeCell ref="G22:G23"/>
    <mergeCell ref="H22:H23"/>
    <mergeCell ref="E21:E23"/>
    <mergeCell ref="E17:K17"/>
    <mergeCell ref="E15:K15"/>
    <mergeCell ref="E16:K16"/>
    <mergeCell ref="L12:N12"/>
    <mergeCell ref="L13:N13"/>
    <mergeCell ref="B8:D8"/>
    <mergeCell ref="E8:K9"/>
    <mergeCell ref="L8:N9"/>
    <mergeCell ref="L11:N11"/>
    <mergeCell ref="L14:N14"/>
    <mergeCell ref="E12:K12"/>
    <mergeCell ref="E13:K13"/>
    <mergeCell ref="E14:K14"/>
    <mergeCell ref="I26:N26"/>
    <mergeCell ref="I32:N32"/>
    <mergeCell ref="M6:O6"/>
    <mergeCell ref="E10:K10"/>
    <mergeCell ref="L10:N10"/>
    <mergeCell ref="E11:K11"/>
    <mergeCell ref="I27:N27"/>
    <mergeCell ref="L15:N15"/>
    <mergeCell ref="L16:N16"/>
    <mergeCell ref="L18:N18"/>
    <mergeCell ref="E18:K18"/>
    <mergeCell ref="O20:O23"/>
    <mergeCell ref="I20:N23"/>
    <mergeCell ref="I24:N24"/>
    <mergeCell ref="I25:N25"/>
    <mergeCell ref="L17:N17"/>
    <mergeCell ref="I36:N36"/>
    <mergeCell ref="I31:N31"/>
    <mergeCell ref="I37:N37"/>
    <mergeCell ref="I28:N28"/>
    <mergeCell ref="I29:N29"/>
    <mergeCell ref="I30:N30"/>
    <mergeCell ref="B2:C4"/>
    <mergeCell ref="J2:L2"/>
    <mergeCell ref="I4:I5"/>
    <mergeCell ref="D3:D5"/>
    <mergeCell ref="F3:I3"/>
    <mergeCell ref="J3:J5"/>
    <mergeCell ref="E3:E5"/>
    <mergeCell ref="K3:K5"/>
    <mergeCell ref="I43:N43"/>
    <mergeCell ref="P2:P5"/>
    <mergeCell ref="D2:I2"/>
    <mergeCell ref="L4:L5"/>
    <mergeCell ref="G4:G5"/>
    <mergeCell ref="F4:F5"/>
    <mergeCell ref="H4:H5"/>
    <mergeCell ref="M2:O5"/>
    <mergeCell ref="I40:N40"/>
    <mergeCell ref="I41:N41"/>
    <mergeCell ref="I38:N38"/>
    <mergeCell ref="I39:N39"/>
    <mergeCell ref="I33:N33"/>
    <mergeCell ref="I34:N34"/>
    <mergeCell ref="I35:N35"/>
    <mergeCell ref="I42:N42"/>
  </mergeCells>
  <phoneticPr fontId="21" type="noConversion"/>
  <conditionalFormatting sqref="C6 C24:C43">
    <cfRule type="cellIs" dxfId="0" priority="1" stopIfTrue="1" operator="equal">
      <formula>0</formula>
    </cfRule>
  </conditionalFormatting>
  <dataValidations count="8">
    <dataValidation type="list" allowBlank="1" showErrorMessage="1" sqref="H6:I6 L6 D10:D18 G24:H43">
      <formula1>$Z$2:$Z$3</formula1>
    </dataValidation>
    <dataValidation type="list" allowBlank="1" showErrorMessage="1" sqref="D24:D43">
      <formula1>$Y$2:$Y$5</formula1>
    </dataValidation>
    <dataValidation type="list" allowBlank="1" showInputMessage="1" showErrorMessage="1" sqref="B6">
      <formula1>$AA$2:$AA$22</formula1>
    </dataValidation>
    <dataValidation type="list" allowBlank="1" showErrorMessage="1" sqref="D6">
      <formula1>$W$2:$W$5</formula1>
    </dataValidation>
    <dataValidation type="list" allowBlank="1" showErrorMessage="1" sqref="J6">
      <formula1>$X$2:$X$9</formula1>
    </dataValidation>
    <dataValidation type="whole" allowBlank="1" showErrorMessage="1" sqref="K6 E24:F24 E6:G6 F25:F43">
      <formula1>0</formula1>
      <formula2>10000</formula2>
    </dataValidation>
    <dataValidation type="whole" allowBlank="1" showErrorMessage="1" sqref="E25:E43">
      <formula1>1</formula1>
      <formula2>10000</formula2>
    </dataValidation>
    <dataValidation type="whole" allowBlank="1" showInputMessage="1" showErrorMessage="1" sqref="C10:C18">
      <formula1>0</formula1>
      <formula2>10000</formula2>
    </dataValidation>
  </dataValidations>
  <pageMargins left="0.39374999999999999" right="0.39374999999999999" top="0.39374999999999999" bottom="0.39374999999999999" header="0.31527777777777777" footer="0.51180555555555551"/>
  <pageSetup paperSize="9" scale="59" firstPageNumber="0" fitToHeight="0" orientation="landscape" horizontalDpi="300" verticalDpi="300" r:id="rId1"/>
  <headerFooter alignWithMargins="0">
    <oddHeader>&amp;L&amp;"Arial,Grassetto"&amp;12SERVIZI DI COMUNICAZIONE EVOLUTA: VOIP</oddHeader>
  </headerFooter>
</worksheet>
</file>

<file path=xl/worksheets/sheet7.xml><?xml version="1.0" encoding="utf-8"?>
<worksheet xmlns="http://schemas.openxmlformats.org/spreadsheetml/2006/main" xmlns:r="http://schemas.openxmlformats.org/officeDocument/2006/relationships">
  <sheetPr>
    <tabColor indexed="17"/>
    <pageSetUpPr fitToPage="1"/>
  </sheetPr>
  <dimension ref="B1:O17"/>
  <sheetViews>
    <sheetView showGridLines="0" workbookViewId="0">
      <selection activeCell="I20" sqref="I20"/>
    </sheetView>
  </sheetViews>
  <sheetFormatPr defaultColWidth="9.28515625" defaultRowHeight="11.25"/>
  <cols>
    <col min="1" max="1" width="2.5703125" style="44" customWidth="1"/>
    <col min="2" max="2" width="16.5703125" style="44" customWidth="1"/>
    <col min="3" max="7" width="12.5703125" style="44" customWidth="1"/>
    <col min="8" max="8" width="65.28515625" style="44" customWidth="1"/>
    <col min="9" max="9" width="32.42578125" style="44" customWidth="1"/>
    <col min="10" max="11" width="10.5703125" style="44" customWidth="1"/>
    <col min="12" max="13" width="14" style="44" hidden="1" customWidth="1"/>
    <col min="14" max="15" width="9.28515625" style="44" hidden="1" customWidth="1"/>
    <col min="16" max="16" width="9.28515625" style="44" customWidth="1"/>
    <col min="17" max="16384" width="9.28515625" style="44"/>
  </cols>
  <sheetData>
    <row r="1" spans="2:14" ht="12" thickBot="1"/>
    <row r="2" spans="2:14" ht="30" customHeight="1">
      <c r="B2" s="354" t="s">
        <v>139</v>
      </c>
      <c r="C2" s="355"/>
      <c r="D2" s="355"/>
      <c r="E2" s="355"/>
      <c r="F2" s="355"/>
      <c r="G2" s="355"/>
      <c r="H2" s="355"/>
      <c r="I2" s="381"/>
      <c r="M2" s="62" t="s">
        <v>141</v>
      </c>
      <c r="N2" s="101" t="s">
        <v>83</v>
      </c>
    </row>
    <row r="3" spans="2:14" ht="26.65" customHeight="1">
      <c r="B3" s="356" t="s">
        <v>95</v>
      </c>
      <c r="C3" s="345" t="s">
        <v>150</v>
      </c>
      <c r="D3" s="345" t="s">
        <v>94</v>
      </c>
      <c r="E3" s="345"/>
      <c r="F3" s="345"/>
      <c r="G3" s="345"/>
      <c r="H3" s="382" t="s">
        <v>96</v>
      </c>
      <c r="I3" s="385" t="s">
        <v>10</v>
      </c>
      <c r="M3" s="62" t="s">
        <v>142</v>
      </c>
      <c r="N3" s="101" t="s">
        <v>84</v>
      </c>
    </row>
    <row r="4" spans="2:14" s="92" customFormat="1" ht="34.15" customHeight="1">
      <c r="B4" s="356"/>
      <c r="C4" s="345"/>
      <c r="D4" s="345" t="s">
        <v>149</v>
      </c>
      <c r="E4" s="345"/>
      <c r="F4" s="345" t="s">
        <v>77</v>
      </c>
      <c r="G4" s="345" t="s">
        <v>22</v>
      </c>
      <c r="H4" s="383"/>
      <c r="I4" s="386"/>
      <c r="M4" s="62" t="s">
        <v>148</v>
      </c>
      <c r="N4" s="45"/>
    </row>
    <row r="5" spans="2:14" s="92" customFormat="1" ht="99.75" customHeight="1" thickBot="1">
      <c r="B5" s="391"/>
      <c r="C5" s="346"/>
      <c r="D5" s="76"/>
      <c r="E5" s="67" t="s">
        <v>153</v>
      </c>
      <c r="F5" s="346"/>
      <c r="G5" s="346"/>
      <c r="H5" s="384"/>
      <c r="I5" s="387"/>
      <c r="M5" s="45"/>
      <c r="N5" s="45"/>
    </row>
    <row r="6" spans="2:14" s="45" customFormat="1" ht="13.5" thickBot="1">
      <c r="B6" s="77"/>
      <c r="C6" s="74"/>
      <c r="D6" s="74"/>
      <c r="E6" s="74"/>
      <c r="F6" s="74"/>
      <c r="G6" s="74"/>
      <c r="H6" s="61" t="str">
        <f>IF(AND(F6="Si",B6&lt;&gt;"ITEP-2 (Managed)"),"Errore: l'opzione affidabilità elevata non è sottoscrivibile !",IF(AND(G6="Si",B6&lt;&gt;"ITEP-2 (Managed)"),"Errore: l'opzione finestra di erogazione estesa non è sottoscrivibile !","OK"))</f>
        <v>OK</v>
      </c>
      <c r="I6" s="102"/>
      <c r="M6" s="44"/>
    </row>
    <row r="7" spans="2:14" ht="12.75">
      <c r="C7" s="44" t="s">
        <v>151</v>
      </c>
      <c r="N7" s="45"/>
    </row>
    <row r="10" spans="2:14" ht="12" thickBot="1"/>
    <row r="11" spans="2:14" ht="30" customHeight="1" thickBot="1">
      <c r="B11" s="388" t="s">
        <v>140</v>
      </c>
      <c r="C11" s="389"/>
      <c r="D11" s="389"/>
      <c r="E11" s="389"/>
      <c r="F11" s="389"/>
      <c r="G11" s="389"/>
      <c r="H11" s="390"/>
      <c r="K11" s="103"/>
    </row>
    <row r="12" spans="2:14" ht="51.75" thickBot="1">
      <c r="B12" s="75" t="s">
        <v>95</v>
      </c>
      <c r="C12" s="67" t="s">
        <v>152</v>
      </c>
      <c r="D12" s="67" t="s">
        <v>137</v>
      </c>
      <c r="E12" s="351" t="s">
        <v>96</v>
      </c>
      <c r="F12" s="352"/>
      <c r="G12" s="352"/>
      <c r="H12" s="100" t="s">
        <v>10</v>
      </c>
      <c r="K12" s="103"/>
    </row>
    <row r="13" spans="2:14" ht="25.15" customHeight="1">
      <c r="B13" s="164" t="s">
        <v>143</v>
      </c>
      <c r="C13" s="167"/>
      <c r="D13" s="71"/>
      <c r="E13" s="380" t="str">
        <f>IF(AND(C13&gt;0,$B$6=""),"Errore:il servizio ETEP è acquistabile solo in abbinamento a un servizio ITEP !","OK")</f>
        <v>OK</v>
      </c>
      <c r="F13" s="380"/>
      <c r="G13" s="380"/>
      <c r="H13" s="104"/>
      <c r="K13" s="103"/>
    </row>
    <row r="14" spans="2:14" ht="25.15" customHeight="1">
      <c r="B14" s="165" t="s">
        <v>144</v>
      </c>
      <c r="C14" s="168"/>
      <c r="D14" s="64"/>
      <c r="E14" s="366" t="str">
        <f>IF(AND(C14&gt;0,$B$6=""),"Errore:il servizio ETEP è acquistabile solo in abbinamento a un servizio ITEP !","OK")</f>
        <v>OK</v>
      </c>
      <c r="F14" s="366"/>
      <c r="G14" s="366"/>
      <c r="H14" s="105"/>
      <c r="K14" s="103"/>
    </row>
    <row r="15" spans="2:14" ht="25.15" customHeight="1">
      <c r="B15" s="165" t="s">
        <v>145</v>
      </c>
      <c r="C15" s="168"/>
      <c r="D15" s="64"/>
      <c r="E15" s="366" t="str">
        <f>IF(AND(C15&gt;0,$B$6=""),"Errore:il servizio ETEP è acquistabile solo in abbinamento a un servizio ITEP !","OK")</f>
        <v>OK</v>
      </c>
      <c r="F15" s="366"/>
      <c r="G15" s="366"/>
      <c r="H15" s="105"/>
      <c r="K15" s="103"/>
    </row>
    <row r="16" spans="2:14" ht="25.15" customHeight="1">
      <c r="B16" s="165" t="s">
        <v>146</v>
      </c>
      <c r="C16" s="168"/>
      <c r="D16" s="64"/>
      <c r="E16" s="366" t="str">
        <f>IF(AND(C16&gt;0,$B$6=""),"Errore:il servizio ETEP è acquistabile solo in abbinamento a un servizio ITEP !","OK")</f>
        <v>OK</v>
      </c>
      <c r="F16" s="366"/>
      <c r="G16" s="366"/>
      <c r="H16" s="105"/>
      <c r="K16" s="103"/>
    </row>
    <row r="17" spans="2:11" ht="25.15" customHeight="1" thickBot="1">
      <c r="B17" s="166" t="s">
        <v>147</v>
      </c>
      <c r="C17" s="169"/>
      <c r="D17" s="70"/>
      <c r="E17" s="371" t="str">
        <f>IF(AND(C17&gt;0,$B$6=""),"Errore:il servizio ETEP è acquistabile solo in abbinamento a un servizio ITEP !","OK")</f>
        <v>OK</v>
      </c>
      <c r="F17" s="371"/>
      <c r="G17" s="371"/>
      <c r="H17" s="106"/>
      <c r="K17" s="103"/>
    </row>
  </sheetData>
  <sheetProtection sheet="1" objects="1" scenarios="1"/>
  <mergeCells count="16">
    <mergeCell ref="B2:I2"/>
    <mergeCell ref="H3:H5"/>
    <mergeCell ref="I3:I5"/>
    <mergeCell ref="F4:F5"/>
    <mergeCell ref="E12:G12"/>
    <mergeCell ref="B11:H11"/>
    <mergeCell ref="G4:G5"/>
    <mergeCell ref="B3:B5"/>
    <mergeCell ref="D3:G3"/>
    <mergeCell ref="C3:C5"/>
    <mergeCell ref="D4:E4"/>
    <mergeCell ref="E17:G17"/>
    <mergeCell ref="E13:G13"/>
    <mergeCell ref="E14:G14"/>
    <mergeCell ref="E15:G15"/>
    <mergeCell ref="E16:G16"/>
  </mergeCells>
  <phoneticPr fontId="21" type="noConversion"/>
  <dataValidations count="4">
    <dataValidation type="list" allowBlank="1" showErrorMessage="1" sqref="D6 F6:G6 D13:D17">
      <formula1>$N$2:$N$3</formula1>
    </dataValidation>
    <dataValidation type="list" allowBlank="1" showErrorMessage="1" sqref="B6">
      <formula1>$M$2:$M$4</formula1>
    </dataValidation>
    <dataValidation type="whole" allowBlank="1" showErrorMessage="1" sqref="C6 E6">
      <formula1>0</formula1>
      <formula2>100000</formula2>
    </dataValidation>
    <dataValidation type="whole" allowBlank="1" showInputMessage="1" showErrorMessage="1" sqref="C13:C17">
      <formula1>0</formula1>
      <formula2>1000</formula2>
    </dataValidation>
  </dataValidations>
  <pageMargins left="0.39374999999999999" right="0.39374999999999999" top="0.39374999999999999" bottom="0.39374999999999999" header="0.31527777777777777" footer="0.51180555555555551"/>
  <pageSetup paperSize="9" scale="81" firstPageNumber="0" fitToHeight="0" orientation="landscape" horizontalDpi="300" verticalDpi="300" r:id="rId1"/>
  <headerFooter alignWithMargins="0">
    <oddHeader>&amp;L&amp;"Arial,Grassetto"&amp;12SERVIZI DI COMUNICAZIONE EVOLUTA: TELEPRESENZA</oddHeader>
  </headerFooter>
</worksheet>
</file>

<file path=xl/worksheets/sheet8.xml><?xml version="1.0" encoding="utf-8"?>
<worksheet xmlns="http://schemas.openxmlformats.org/spreadsheetml/2006/main" xmlns:r="http://schemas.openxmlformats.org/officeDocument/2006/relationships">
  <sheetPr>
    <tabColor indexed="53"/>
    <pageSetUpPr fitToPage="1"/>
  </sheetPr>
  <dimension ref="B1:P32"/>
  <sheetViews>
    <sheetView showGridLines="0" workbookViewId="0">
      <selection activeCell="H30" sqref="H30"/>
    </sheetView>
  </sheetViews>
  <sheetFormatPr defaultColWidth="9.28515625" defaultRowHeight="12.75"/>
  <cols>
    <col min="1" max="1" width="2.5703125" style="1" customWidth="1"/>
    <col min="2" max="2" width="10.5703125" style="1" customWidth="1"/>
    <col min="3" max="3" width="64.5703125" style="1" customWidth="1"/>
    <col min="4" max="4" width="15.5703125" style="1" customWidth="1"/>
    <col min="5" max="5" width="30.5703125" style="1" customWidth="1"/>
    <col min="6" max="7" width="12.5703125" style="1" customWidth="1"/>
    <col min="8" max="8" width="65.28515625" style="1" customWidth="1"/>
    <col min="9" max="9" width="32.42578125" style="1" customWidth="1"/>
    <col min="10" max="11" width="10.5703125" style="1" customWidth="1"/>
    <col min="12" max="12" width="60.5703125" style="53" customWidth="1"/>
    <col min="13" max="13" width="24.7109375" style="43" customWidth="1"/>
    <col min="14" max="14" width="14" style="44" hidden="1" customWidth="1"/>
    <col min="15" max="15" width="14" style="1" hidden="1" customWidth="1"/>
    <col min="16" max="16" width="9.28515625" style="1" hidden="1" customWidth="1"/>
    <col min="17" max="18" width="9.28515625" style="1" customWidth="1"/>
    <col min="19" max="16384" width="9.28515625" style="1"/>
  </cols>
  <sheetData>
    <row r="1" spans="2:14" ht="13.5" thickBot="1"/>
    <row r="2" spans="2:14" ht="30" customHeight="1" thickBot="1">
      <c r="B2" s="392" t="s">
        <v>206</v>
      </c>
      <c r="C2" s="393"/>
      <c r="D2" s="393"/>
      <c r="E2" s="394"/>
      <c r="L2" s="1"/>
      <c r="M2" s="1"/>
      <c r="N2" s="1"/>
    </row>
    <row r="3" spans="2:14" ht="30" customHeight="1" thickBot="1">
      <c r="B3" s="87" t="s">
        <v>95</v>
      </c>
      <c r="C3" s="88" t="s">
        <v>209</v>
      </c>
      <c r="D3" s="89" t="s">
        <v>208</v>
      </c>
      <c r="E3" s="90" t="s">
        <v>10</v>
      </c>
      <c r="L3" s="1"/>
      <c r="M3" s="1"/>
      <c r="N3" s="1"/>
    </row>
    <row r="4" spans="2:14">
      <c r="B4" s="78" t="s">
        <v>154</v>
      </c>
      <c r="C4" s="79" t="s">
        <v>155</v>
      </c>
      <c r="D4" s="170"/>
      <c r="E4" s="171"/>
      <c r="L4" s="1"/>
      <c r="M4" s="1"/>
      <c r="N4" s="1"/>
    </row>
    <row r="5" spans="2:14">
      <c r="B5" s="80" t="s">
        <v>156</v>
      </c>
      <c r="C5" s="62" t="s">
        <v>157</v>
      </c>
      <c r="D5" s="156"/>
      <c r="E5" s="172"/>
      <c r="L5" s="1"/>
      <c r="M5" s="1"/>
      <c r="N5" s="1"/>
    </row>
    <row r="6" spans="2:14">
      <c r="B6" s="80" t="s">
        <v>158</v>
      </c>
      <c r="C6" s="62" t="s">
        <v>159</v>
      </c>
      <c r="D6" s="156"/>
      <c r="E6" s="172"/>
      <c r="L6" s="1"/>
      <c r="M6" s="1"/>
      <c r="N6" s="1"/>
    </row>
    <row r="7" spans="2:14">
      <c r="B7" s="80" t="s">
        <v>160</v>
      </c>
      <c r="C7" s="62" t="s">
        <v>161</v>
      </c>
      <c r="D7" s="156"/>
      <c r="E7" s="172"/>
      <c r="L7" s="1"/>
      <c r="M7" s="1"/>
      <c r="N7" s="1"/>
    </row>
    <row r="8" spans="2:14">
      <c r="B8" s="80" t="s">
        <v>162</v>
      </c>
      <c r="C8" s="62" t="s">
        <v>163</v>
      </c>
      <c r="D8" s="156"/>
      <c r="E8" s="172"/>
      <c r="L8" s="1"/>
      <c r="M8" s="1"/>
      <c r="N8" s="1"/>
    </row>
    <row r="9" spans="2:14">
      <c r="B9" s="80" t="s">
        <v>164</v>
      </c>
      <c r="C9" s="62" t="s">
        <v>165</v>
      </c>
      <c r="D9" s="156"/>
      <c r="E9" s="172"/>
      <c r="L9" s="1"/>
      <c r="M9" s="1"/>
      <c r="N9" s="1"/>
    </row>
    <row r="10" spans="2:14">
      <c r="B10" s="80" t="s">
        <v>166</v>
      </c>
      <c r="C10" s="62" t="s">
        <v>167</v>
      </c>
      <c r="D10" s="156"/>
      <c r="E10" s="172"/>
      <c r="L10" s="1"/>
      <c r="M10" s="1"/>
      <c r="N10" s="1"/>
    </row>
    <row r="11" spans="2:14">
      <c r="B11" s="80" t="s">
        <v>168</v>
      </c>
      <c r="C11" s="62" t="s">
        <v>169</v>
      </c>
      <c r="D11" s="156"/>
      <c r="E11" s="172"/>
      <c r="L11" s="1"/>
      <c r="M11" s="1"/>
      <c r="N11" s="1"/>
    </row>
    <row r="12" spans="2:14">
      <c r="B12" s="80" t="s">
        <v>170</v>
      </c>
      <c r="C12" s="62" t="s">
        <v>171</v>
      </c>
      <c r="D12" s="156"/>
      <c r="E12" s="172"/>
      <c r="L12" s="1"/>
      <c r="M12" s="1"/>
      <c r="N12" s="1"/>
    </row>
    <row r="13" spans="2:14">
      <c r="B13" s="80" t="s">
        <v>172</v>
      </c>
      <c r="C13" s="62" t="s">
        <v>173</v>
      </c>
      <c r="D13" s="156"/>
      <c r="E13" s="172"/>
      <c r="L13" s="1"/>
      <c r="M13" s="1"/>
      <c r="N13" s="1"/>
    </row>
    <row r="14" spans="2:14">
      <c r="B14" s="80" t="s">
        <v>174</v>
      </c>
      <c r="C14" s="62" t="s">
        <v>175</v>
      </c>
      <c r="D14" s="156"/>
      <c r="E14" s="172"/>
      <c r="L14" s="1"/>
      <c r="M14" s="1"/>
      <c r="N14" s="1"/>
    </row>
    <row r="15" spans="2:14">
      <c r="B15" s="80" t="s">
        <v>176</v>
      </c>
      <c r="C15" s="62" t="s">
        <v>177</v>
      </c>
      <c r="D15" s="156"/>
      <c r="E15" s="172"/>
      <c r="L15" s="1"/>
      <c r="M15" s="1"/>
      <c r="N15" s="1"/>
    </row>
    <row r="16" spans="2:14">
      <c r="B16" s="80" t="s">
        <v>178</v>
      </c>
      <c r="C16" s="62" t="s">
        <v>179</v>
      </c>
      <c r="D16" s="156"/>
      <c r="E16" s="172"/>
      <c r="L16" s="1"/>
      <c r="M16" s="1"/>
      <c r="N16" s="1"/>
    </row>
    <row r="17" spans="2:14">
      <c r="B17" s="80" t="s">
        <v>180</v>
      </c>
      <c r="C17" s="62" t="s">
        <v>181</v>
      </c>
      <c r="D17" s="156"/>
      <c r="E17" s="172"/>
      <c r="L17" s="1"/>
      <c r="M17" s="1"/>
      <c r="N17" s="1"/>
    </row>
    <row r="18" spans="2:14">
      <c r="B18" s="80" t="s">
        <v>182</v>
      </c>
      <c r="C18" s="62" t="s">
        <v>183</v>
      </c>
      <c r="D18" s="156"/>
      <c r="E18" s="172"/>
      <c r="L18" s="1"/>
      <c r="M18" s="1"/>
      <c r="N18" s="1"/>
    </row>
    <row r="19" spans="2:14">
      <c r="B19" s="80" t="s">
        <v>184</v>
      </c>
      <c r="C19" s="62" t="s">
        <v>185</v>
      </c>
      <c r="D19" s="156"/>
      <c r="E19" s="172"/>
      <c r="L19" s="1"/>
      <c r="M19" s="1"/>
      <c r="N19" s="1"/>
    </row>
    <row r="20" spans="2:14">
      <c r="B20" s="80" t="s">
        <v>186</v>
      </c>
      <c r="C20" s="62" t="s">
        <v>187</v>
      </c>
      <c r="D20" s="156"/>
      <c r="E20" s="172"/>
      <c r="L20" s="1"/>
      <c r="M20" s="1"/>
      <c r="N20" s="1"/>
    </row>
    <row r="21" spans="2:14">
      <c r="B21" s="80" t="s">
        <v>188</v>
      </c>
      <c r="C21" s="62" t="s">
        <v>189</v>
      </c>
      <c r="D21" s="156"/>
      <c r="E21" s="172"/>
      <c r="L21" s="1"/>
      <c r="M21" s="1"/>
      <c r="N21" s="1"/>
    </row>
    <row r="22" spans="2:14">
      <c r="B22" s="80" t="s">
        <v>190</v>
      </c>
      <c r="C22" s="62" t="s">
        <v>191</v>
      </c>
      <c r="D22" s="156"/>
      <c r="E22" s="172"/>
    </row>
    <row r="23" spans="2:14">
      <c r="B23" s="80" t="s">
        <v>192</v>
      </c>
      <c r="C23" s="62" t="s">
        <v>193</v>
      </c>
      <c r="D23" s="156"/>
      <c r="E23" s="172"/>
    </row>
    <row r="24" spans="2:14" ht="13.5" thickBot="1">
      <c r="B24" s="81" t="s">
        <v>194</v>
      </c>
      <c r="C24" s="82" t="s">
        <v>195</v>
      </c>
      <c r="D24" s="158"/>
      <c r="E24" s="173"/>
    </row>
    <row r="25" spans="2:14" ht="40.15" customHeight="1" thickBot="1"/>
    <row r="26" spans="2:14" ht="30" customHeight="1" thickBot="1">
      <c r="B26" s="392" t="s">
        <v>207</v>
      </c>
      <c r="C26" s="393"/>
      <c r="D26" s="393"/>
      <c r="E26" s="394"/>
    </row>
    <row r="27" spans="2:14" ht="30" customHeight="1" thickBot="1">
      <c r="B27" s="83" t="s">
        <v>95</v>
      </c>
      <c r="C27" s="84" t="s">
        <v>209</v>
      </c>
      <c r="D27" s="85" t="s">
        <v>210</v>
      </c>
      <c r="E27" s="86" t="s">
        <v>10</v>
      </c>
    </row>
    <row r="28" spans="2:14">
      <c r="B28" s="78" t="s">
        <v>196</v>
      </c>
      <c r="C28" s="79" t="s">
        <v>197</v>
      </c>
      <c r="D28" s="170"/>
      <c r="E28" s="171"/>
    </row>
    <row r="29" spans="2:14">
      <c r="B29" s="80" t="s">
        <v>198</v>
      </c>
      <c r="C29" s="62" t="s">
        <v>199</v>
      </c>
      <c r="D29" s="156"/>
      <c r="E29" s="172"/>
    </row>
    <row r="30" spans="2:14">
      <c r="B30" s="80" t="s">
        <v>200</v>
      </c>
      <c r="C30" s="62" t="s">
        <v>201</v>
      </c>
      <c r="D30" s="156"/>
      <c r="E30" s="172"/>
    </row>
    <row r="31" spans="2:14">
      <c r="B31" s="80" t="s">
        <v>202</v>
      </c>
      <c r="C31" s="62" t="s">
        <v>203</v>
      </c>
      <c r="D31" s="156"/>
      <c r="E31" s="172"/>
    </row>
    <row r="32" spans="2:14" ht="13.5" thickBot="1">
      <c r="B32" s="81" t="s">
        <v>204</v>
      </c>
      <c r="C32" s="82" t="s">
        <v>205</v>
      </c>
      <c r="D32" s="158"/>
      <c r="E32" s="173"/>
    </row>
  </sheetData>
  <sheetProtection sheet="1" objects="1" scenarios="1"/>
  <mergeCells count="2">
    <mergeCell ref="B2:E2"/>
    <mergeCell ref="B26:E26"/>
  </mergeCells>
  <phoneticPr fontId="21" type="noConversion"/>
  <dataValidations count="1">
    <dataValidation type="whole" allowBlank="1" showInputMessage="1" showErrorMessage="1" sqref="D4:D24 D28:D31">
      <formula1>0</formula1>
      <formula2>100000</formula2>
    </dataValidation>
  </dataValidations>
  <pageMargins left="0.39374999999999999" right="0.39374999999999999" top="0.39374999999999999" bottom="0.39374999999999999" header="0.31527777777777777" footer="0.51180555555555551"/>
  <pageSetup paperSize="9" firstPageNumber="0" fitToHeight="0" orientation="landscape" horizontalDpi="300" verticalDpi="300" r:id="rId1"/>
  <headerFooter alignWithMargins="0">
    <oddHeader>&amp;L&amp;"Arial,Grassetto"&amp;12SERVIZI DI SUPPORTO PROFESSIONALE</oddHeader>
  </headerFooter>
</worksheet>
</file>

<file path=xl/worksheets/sheet9.xml><?xml version="1.0" encoding="utf-8"?>
<worksheet xmlns="http://schemas.openxmlformats.org/spreadsheetml/2006/main" xmlns:r="http://schemas.openxmlformats.org/officeDocument/2006/relationships">
  <sheetPr>
    <tabColor indexed="13"/>
  </sheetPr>
  <dimension ref="A1:V198"/>
  <sheetViews>
    <sheetView showGridLines="0" zoomScale="96" zoomScaleNormal="96" workbookViewId="0">
      <pane xSplit="2" ySplit="2" topLeftCell="C3" activePane="bottomRight" state="frozen"/>
      <selection activeCell="B137" sqref="B137"/>
      <selection pane="topRight" activeCell="B137" sqref="B137"/>
      <selection pane="bottomLeft" activeCell="B137" sqref="B137"/>
      <selection pane="bottomRight" activeCell="B16" sqref="B16"/>
    </sheetView>
  </sheetViews>
  <sheetFormatPr defaultRowHeight="14.25" customHeight="1"/>
  <cols>
    <col min="1" max="1" width="15.7109375" customWidth="1"/>
    <col min="2" max="2" width="65" customWidth="1"/>
    <col min="3" max="22" width="15.28515625" customWidth="1"/>
  </cols>
  <sheetData>
    <row r="1" spans="1:22" ht="12.75">
      <c r="A1" s="174"/>
      <c r="B1" s="175"/>
      <c r="C1" s="395" t="s">
        <v>455</v>
      </c>
      <c r="D1" s="396"/>
      <c r="E1" s="396"/>
      <c r="F1" s="397"/>
      <c r="G1" s="395" t="s">
        <v>456</v>
      </c>
      <c r="H1" s="396"/>
      <c r="I1" s="396"/>
      <c r="J1" s="397"/>
      <c r="K1" s="395" t="s">
        <v>512</v>
      </c>
      <c r="L1" s="396"/>
      <c r="M1" s="396"/>
      <c r="N1" s="397"/>
      <c r="O1" s="395" t="s">
        <v>457</v>
      </c>
      <c r="P1" s="396"/>
      <c r="Q1" s="396"/>
      <c r="R1" s="397"/>
      <c r="S1" s="395" t="s">
        <v>511</v>
      </c>
      <c r="T1" s="396"/>
      <c r="U1" s="396"/>
      <c r="V1" s="397"/>
    </row>
    <row r="2" spans="1:22" ht="51">
      <c r="A2" s="177" t="s">
        <v>213</v>
      </c>
      <c r="B2" s="178" t="s">
        <v>227</v>
      </c>
      <c r="C2" s="179" t="s">
        <v>458</v>
      </c>
      <c r="D2" s="179" t="s">
        <v>459</v>
      </c>
      <c r="E2" s="180" t="s">
        <v>444</v>
      </c>
      <c r="F2" s="180" t="s">
        <v>445</v>
      </c>
      <c r="G2" s="179" t="s">
        <v>458</v>
      </c>
      <c r="H2" s="179" t="s">
        <v>459</v>
      </c>
      <c r="I2" s="180" t="s">
        <v>444</v>
      </c>
      <c r="J2" s="180" t="s">
        <v>445</v>
      </c>
      <c r="K2" s="179" t="s">
        <v>458</v>
      </c>
      <c r="L2" s="179" t="s">
        <v>459</v>
      </c>
      <c r="M2" s="180" t="s">
        <v>444</v>
      </c>
      <c r="N2" s="180" t="s">
        <v>445</v>
      </c>
      <c r="O2" s="179" t="s">
        <v>458</v>
      </c>
      <c r="P2" s="179" t="s">
        <v>459</v>
      </c>
      <c r="Q2" s="180" t="s">
        <v>444</v>
      </c>
      <c r="R2" s="180" t="s">
        <v>445</v>
      </c>
      <c r="S2" s="179" t="s">
        <v>458</v>
      </c>
      <c r="T2" s="261" t="s">
        <v>459</v>
      </c>
      <c r="U2" s="180" t="s">
        <v>444</v>
      </c>
      <c r="V2" s="180" t="s">
        <v>445</v>
      </c>
    </row>
    <row r="3" spans="1:22" ht="25.5">
      <c r="A3" s="62" t="s">
        <v>29</v>
      </c>
      <c r="B3" s="185" t="s">
        <v>228</v>
      </c>
      <c r="C3" s="181">
        <v>96</v>
      </c>
      <c r="D3" s="181">
        <v>55</v>
      </c>
      <c r="E3" s="182"/>
      <c r="F3" s="182"/>
      <c r="G3" s="181">
        <v>24.22</v>
      </c>
      <c r="H3" s="181">
        <v>12.11</v>
      </c>
      <c r="I3" s="182"/>
      <c r="J3" s="182"/>
      <c r="K3" s="181">
        <v>42.58</v>
      </c>
      <c r="L3" s="181">
        <v>21.29</v>
      </c>
      <c r="M3" s="182"/>
      <c r="N3" s="182"/>
      <c r="O3" s="181">
        <v>76.800000000000011</v>
      </c>
      <c r="P3" s="181">
        <v>38.400000000000006</v>
      </c>
      <c r="Q3" s="182"/>
      <c r="R3" s="182"/>
      <c r="S3" s="181">
        <v>56</v>
      </c>
      <c r="T3" s="181">
        <v>28</v>
      </c>
      <c r="U3" s="182"/>
      <c r="V3" s="182"/>
    </row>
    <row r="4" spans="1:22" ht="25.5">
      <c r="A4" s="62" t="s">
        <v>31</v>
      </c>
      <c r="B4" s="185" t="s">
        <v>229</v>
      </c>
      <c r="C4" s="181">
        <v>96</v>
      </c>
      <c r="D4" s="181">
        <v>55</v>
      </c>
      <c r="E4" s="182"/>
      <c r="F4" s="182"/>
      <c r="G4" s="181">
        <v>24.32</v>
      </c>
      <c r="H4" s="181">
        <v>12.16</v>
      </c>
      <c r="I4" s="182"/>
      <c r="J4" s="182"/>
      <c r="K4" s="181">
        <v>43.4</v>
      </c>
      <c r="L4" s="181">
        <v>21.7</v>
      </c>
      <c r="M4" s="182"/>
      <c r="N4" s="182"/>
      <c r="O4" s="181">
        <v>78.400000000000006</v>
      </c>
      <c r="P4" s="181">
        <v>39.200000000000003</v>
      </c>
      <c r="Q4" s="182"/>
      <c r="R4" s="182"/>
      <c r="S4" s="181">
        <v>104</v>
      </c>
      <c r="T4" s="181">
        <v>52</v>
      </c>
      <c r="U4" s="182"/>
      <c r="V4" s="182"/>
    </row>
    <row r="5" spans="1:22" ht="25.5">
      <c r="A5" s="62" t="s">
        <v>32</v>
      </c>
      <c r="B5" s="185" t="s">
        <v>230</v>
      </c>
      <c r="C5" s="181">
        <v>96</v>
      </c>
      <c r="D5" s="181">
        <v>55</v>
      </c>
      <c r="E5" s="182"/>
      <c r="F5" s="182"/>
      <c r="G5" s="181">
        <v>24.56</v>
      </c>
      <c r="H5" s="181">
        <v>12.28</v>
      </c>
      <c r="I5" s="182"/>
      <c r="J5" s="182"/>
      <c r="K5" s="181">
        <v>43.84</v>
      </c>
      <c r="L5" s="181">
        <v>21.92</v>
      </c>
      <c r="M5" s="182"/>
      <c r="N5" s="182"/>
      <c r="O5" s="181">
        <v>83.2</v>
      </c>
      <c r="P5" s="181">
        <v>41.6</v>
      </c>
      <c r="Q5" s="182"/>
      <c r="R5" s="182"/>
      <c r="S5" s="181">
        <v>104</v>
      </c>
      <c r="T5" s="181">
        <v>52</v>
      </c>
      <c r="U5" s="182"/>
      <c r="V5" s="182"/>
    </row>
    <row r="6" spans="1:22" ht="25.5">
      <c r="A6" s="62" t="s">
        <v>34</v>
      </c>
      <c r="B6" s="185" t="s">
        <v>231</v>
      </c>
      <c r="C6" s="181">
        <v>96</v>
      </c>
      <c r="D6" s="181">
        <v>55</v>
      </c>
      <c r="E6" s="182"/>
      <c r="F6" s="182"/>
      <c r="G6" s="181">
        <v>24.66</v>
      </c>
      <c r="H6" s="181">
        <v>12.33</v>
      </c>
      <c r="I6" s="182"/>
      <c r="J6" s="182"/>
      <c r="K6" s="181">
        <v>43.84</v>
      </c>
      <c r="L6" s="181">
        <v>21.92</v>
      </c>
      <c r="M6" s="182"/>
      <c r="N6" s="182"/>
      <c r="O6" s="181">
        <v>84.800000000000011</v>
      </c>
      <c r="P6" s="181">
        <v>42.400000000000006</v>
      </c>
      <c r="Q6" s="182"/>
      <c r="R6" s="182"/>
      <c r="S6" s="181">
        <v>104</v>
      </c>
      <c r="T6" s="181">
        <v>52</v>
      </c>
      <c r="U6" s="182"/>
      <c r="V6" s="182"/>
    </row>
    <row r="7" spans="1:22" ht="25.5">
      <c r="A7" s="62" t="s">
        <v>35</v>
      </c>
      <c r="B7" s="185" t="s">
        <v>232</v>
      </c>
      <c r="C7" s="181">
        <v>96</v>
      </c>
      <c r="D7" s="181">
        <v>62</v>
      </c>
      <c r="E7" s="182"/>
      <c r="F7" s="182"/>
      <c r="G7" s="181">
        <v>28.99</v>
      </c>
      <c r="H7" s="181">
        <v>14.5</v>
      </c>
      <c r="I7" s="182"/>
      <c r="J7" s="182"/>
      <c r="K7" s="181">
        <v>44.74</v>
      </c>
      <c r="L7" s="181">
        <v>22.37</v>
      </c>
      <c r="M7" s="182"/>
      <c r="N7" s="182"/>
      <c r="O7" s="181">
        <v>88</v>
      </c>
      <c r="P7" s="181">
        <v>44</v>
      </c>
      <c r="Q7" s="182"/>
      <c r="R7" s="182"/>
      <c r="S7" s="181">
        <v>104</v>
      </c>
      <c r="T7" s="181">
        <v>52</v>
      </c>
      <c r="U7" s="182"/>
      <c r="V7" s="182"/>
    </row>
    <row r="8" spans="1:22" ht="25.5">
      <c r="A8" s="62" t="s">
        <v>37</v>
      </c>
      <c r="B8" s="185" t="s">
        <v>233</v>
      </c>
      <c r="C8" s="181">
        <v>96</v>
      </c>
      <c r="D8" s="181">
        <v>62</v>
      </c>
      <c r="E8" s="182"/>
      <c r="F8" s="182"/>
      <c r="G8" s="181">
        <v>29.1</v>
      </c>
      <c r="H8" s="181">
        <v>14.55</v>
      </c>
      <c r="I8" s="182"/>
      <c r="J8" s="182"/>
      <c r="K8" s="181">
        <v>44.74</v>
      </c>
      <c r="L8" s="181">
        <v>22.37</v>
      </c>
      <c r="M8" s="182"/>
      <c r="N8" s="182"/>
      <c r="O8" s="181">
        <v>108</v>
      </c>
      <c r="P8" s="181">
        <v>54</v>
      </c>
      <c r="Q8" s="182"/>
      <c r="R8" s="182"/>
      <c r="S8" s="181">
        <v>200</v>
      </c>
      <c r="T8" s="181">
        <v>300</v>
      </c>
      <c r="U8" s="182"/>
      <c r="V8" s="182"/>
    </row>
    <row r="9" spans="1:22" ht="25.5">
      <c r="A9" s="62" t="s">
        <v>38</v>
      </c>
      <c r="B9" s="185" t="s">
        <v>234</v>
      </c>
      <c r="C9" s="181">
        <v>96</v>
      </c>
      <c r="D9" s="181">
        <v>74</v>
      </c>
      <c r="E9" s="182"/>
      <c r="F9" s="182"/>
      <c r="G9" s="181">
        <v>30.62</v>
      </c>
      <c r="H9" s="181">
        <v>15.31</v>
      </c>
      <c r="I9" s="182"/>
      <c r="J9" s="182"/>
      <c r="K9" s="181">
        <v>46.52</v>
      </c>
      <c r="L9" s="181">
        <v>23.26</v>
      </c>
      <c r="M9" s="182"/>
      <c r="N9" s="182"/>
      <c r="O9" s="181">
        <v>129.6</v>
      </c>
      <c r="P9" s="181">
        <v>64.8</v>
      </c>
      <c r="Q9" s="182"/>
      <c r="R9" s="182"/>
      <c r="S9" s="181">
        <v>200</v>
      </c>
      <c r="T9" s="181">
        <v>400</v>
      </c>
      <c r="U9" s="182"/>
      <c r="V9" s="182"/>
    </row>
    <row r="10" spans="1:22" ht="25.5">
      <c r="A10" s="62" t="s">
        <v>40</v>
      </c>
      <c r="B10" s="185" t="s">
        <v>235</v>
      </c>
      <c r="C10" s="181">
        <v>96</v>
      </c>
      <c r="D10" s="181">
        <v>74</v>
      </c>
      <c r="E10" s="182"/>
      <c r="F10" s="182"/>
      <c r="G10" s="181">
        <v>67.8</v>
      </c>
      <c r="H10" s="181">
        <v>33.9</v>
      </c>
      <c r="I10" s="182"/>
      <c r="J10" s="182"/>
      <c r="K10" s="181">
        <v>46.52</v>
      </c>
      <c r="L10" s="181">
        <v>23.26</v>
      </c>
      <c r="M10" s="182"/>
      <c r="N10" s="182"/>
      <c r="O10" s="181">
        <v>149.4</v>
      </c>
      <c r="P10" s="181">
        <v>74.7</v>
      </c>
      <c r="Q10" s="182"/>
      <c r="R10" s="182"/>
      <c r="S10" s="181">
        <v>200</v>
      </c>
      <c r="T10" s="181">
        <v>400</v>
      </c>
      <c r="U10" s="182"/>
      <c r="V10" s="182"/>
    </row>
    <row r="11" spans="1:22" ht="25.5">
      <c r="A11" s="262" t="s">
        <v>41</v>
      </c>
      <c r="B11" s="263" t="s">
        <v>236</v>
      </c>
      <c r="C11" s="181">
        <v>96</v>
      </c>
      <c r="D11" s="181">
        <v>74</v>
      </c>
      <c r="E11" s="182"/>
      <c r="F11" s="182"/>
      <c r="G11" s="181">
        <v>67.84</v>
      </c>
      <c r="H11" s="181">
        <v>60</v>
      </c>
      <c r="I11" s="182"/>
      <c r="J11" s="182"/>
      <c r="K11" s="181">
        <v>136.78</v>
      </c>
      <c r="L11" s="181">
        <v>68.39</v>
      </c>
      <c r="M11" s="182"/>
      <c r="N11" s="182"/>
      <c r="O11" s="181">
        <v>152</v>
      </c>
      <c r="P11" s="181">
        <v>76</v>
      </c>
      <c r="Q11" s="182"/>
      <c r="R11" s="182"/>
      <c r="S11" s="181">
        <v>200</v>
      </c>
      <c r="T11" s="181">
        <v>400</v>
      </c>
      <c r="U11" s="182"/>
      <c r="V11" s="182"/>
    </row>
    <row r="12" spans="1:22" ht="25.5">
      <c r="A12" s="262" t="s">
        <v>42</v>
      </c>
      <c r="B12" s="263" t="s">
        <v>237</v>
      </c>
      <c r="C12" s="181">
        <v>160</v>
      </c>
      <c r="D12" s="181">
        <v>80</v>
      </c>
      <c r="E12" s="182"/>
      <c r="F12" s="182"/>
      <c r="G12" s="181">
        <v>75.64</v>
      </c>
      <c r="H12" s="181">
        <v>80</v>
      </c>
      <c r="I12" s="182"/>
      <c r="J12" s="182"/>
      <c r="K12" s="181">
        <v>147</v>
      </c>
      <c r="L12" s="181">
        <v>73.5</v>
      </c>
      <c r="M12" s="182"/>
      <c r="N12" s="182"/>
      <c r="O12" s="181">
        <v>159.19999999999999</v>
      </c>
      <c r="P12" s="181">
        <v>79.599999999999994</v>
      </c>
      <c r="Q12" s="182"/>
      <c r="R12" s="182"/>
      <c r="S12" s="181">
        <v>200</v>
      </c>
      <c r="T12" s="181">
        <v>400</v>
      </c>
      <c r="U12" s="182"/>
      <c r="V12" s="182"/>
    </row>
    <row r="13" spans="1:22" ht="25.5">
      <c r="A13" s="262" t="s">
        <v>496</v>
      </c>
      <c r="B13" s="263" t="s">
        <v>513</v>
      </c>
      <c r="C13" s="181">
        <v>160</v>
      </c>
      <c r="D13" s="181">
        <v>80</v>
      </c>
      <c r="E13" s="182"/>
      <c r="F13" s="182"/>
      <c r="G13" s="181">
        <v>75.64</v>
      </c>
      <c r="H13" s="181">
        <v>90</v>
      </c>
      <c r="I13" s="182"/>
      <c r="J13" s="182"/>
      <c r="K13" s="181">
        <v>147</v>
      </c>
      <c r="L13" s="181">
        <v>73.5</v>
      </c>
      <c r="M13" s="182"/>
      <c r="N13" s="182"/>
      <c r="O13" s="181">
        <v>162.96</v>
      </c>
      <c r="P13" s="181">
        <v>81.48</v>
      </c>
      <c r="Q13" s="182"/>
      <c r="R13" s="182"/>
      <c r="S13" s="181">
        <v>200</v>
      </c>
      <c r="T13" s="181">
        <v>300</v>
      </c>
      <c r="U13" s="182"/>
      <c r="V13" s="182"/>
    </row>
    <row r="14" spans="1:22" ht="25.5">
      <c r="A14" s="262" t="s">
        <v>497</v>
      </c>
      <c r="B14" s="263" t="s">
        <v>514</v>
      </c>
      <c r="C14" s="181">
        <v>160</v>
      </c>
      <c r="D14" s="181">
        <v>80</v>
      </c>
      <c r="E14" s="182"/>
      <c r="F14" s="182"/>
      <c r="G14" s="181">
        <v>75.64</v>
      </c>
      <c r="H14" s="181">
        <v>100</v>
      </c>
      <c r="I14" s="182"/>
      <c r="J14" s="182"/>
      <c r="K14" s="181">
        <v>122.5</v>
      </c>
      <c r="L14" s="181">
        <v>61.25</v>
      </c>
      <c r="M14" s="182"/>
      <c r="N14" s="182"/>
      <c r="O14" s="181">
        <v>165.6</v>
      </c>
      <c r="P14" s="181">
        <v>82.8</v>
      </c>
      <c r="Q14" s="182"/>
      <c r="R14" s="182"/>
      <c r="S14" s="181">
        <v>200</v>
      </c>
      <c r="T14" s="181">
        <v>300</v>
      </c>
      <c r="U14" s="182"/>
      <c r="V14" s="182"/>
    </row>
    <row r="15" spans="1:22" ht="25.5">
      <c r="A15" s="262" t="s">
        <v>498</v>
      </c>
      <c r="B15" s="263" t="s">
        <v>515</v>
      </c>
      <c r="C15" s="181">
        <v>160</v>
      </c>
      <c r="D15" s="181">
        <v>80</v>
      </c>
      <c r="E15" s="182"/>
      <c r="F15" s="182"/>
      <c r="G15" s="181">
        <v>75.64</v>
      </c>
      <c r="H15" s="181">
        <v>150</v>
      </c>
      <c r="I15" s="182"/>
      <c r="J15" s="182"/>
      <c r="K15" s="181">
        <v>122.5</v>
      </c>
      <c r="L15" s="181">
        <v>61.25</v>
      </c>
      <c r="M15" s="182"/>
      <c r="N15" s="182"/>
      <c r="O15" s="181">
        <v>172.8</v>
      </c>
      <c r="P15" s="181">
        <v>86.4</v>
      </c>
      <c r="Q15" s="182"/>
      <c r="R15" s="182"/>
      <c r="S15" s="181">
        <v>200</v>
      </c>
      <c r="T15" s="181">
        <v>300</v>
      </c>
      <c r="U15" s="182"/>
      <c r="V15" s="182"/>
    </row>
    <row r="16" spans="1:22" ht="25.5">
      <c r="A16" s="62" t="s">
        <v>44</v>
      </c>
      <c r="B16" s="185" t="s">
        <v>238</v>
      </c>
      <c r="C16" s="181">
        <v>180</v>
      </c>
      <c r="D16" s="181">
        <v>144</v>
      </c>
      <c r="E16" s="182"/>
      <c r="F16" s="182"/>
      <c r="G16" s="181">
        <v>100</v>
      </c>
      <c r="H16" s="181">
        <v>60</v>
      </c>
      <c r="I16" s="182"/>
      <c r="J16" s="182"/>
      <c r="K16" s="181">
        <v>100.2</v>
      </c>
      <c r="L16" s="181">
        <v>50.1</v>
      </c>
      <c r="M16" s="182"/>
      <c r="N16" s="182"/>
      <c r="O16" s="181">
        <v>154.80000000000001</v>
      </c>
      <c r="P16" s="181">
        <v>77.400000000000006</v>
      </c>
      <c r="Q16" s="182"/>
      <c r="R16" s="182"/>
      <c r="S16" s="181">
        <v>212</v>
      </c>
      <c r="T16" s="181">
        <v>106</v>
      </c>
      <c r="U16" s="182"/>
      <c r="V16" s="182"/>
    </row>
    <row r="17" spans="1:22" ht="25.5">
      <c r="A17" s="62" t="s">
        <v>45</v>
      </c>
      <c r="B17" s="185" t="s">
        <v>239</v>
      </c>
      <c r="C17" s="181">
        <v>180</v>
      </c>
      <c r="D17" s="181">
        <v>162</v>
      </c>
      <c r="E17" s="182"/>
      <c r="F17" s="182"/>
      <c r="G17" s="181">
        <v>100</v>
      </c>
      <c r="H17" s="181">
        <v>63</v>
      </c>
      <c r="I17" s="182"/>
      <c r="J17" s="182"/>
      <c r="K17" s="181">
        <v>101.1</v>
      </c>
      <c r="L17" s="181">
        <v>50.55</v>
      </c>
      <c r="M17" s="182"/>
      <c r="N17" s="182"/>
      <c r="O17" s="181">
        <v>158.4</v>
      </c>
      <c r="P17" s="181">
        <v>79.2</v>
      </c>
      <c r="Q17" s="182"/>
      <c r="R17" s="182"/>
      <c r="S17" s="181">
        <v>231.2</v>
      </c>
      <c r="T17" s="181">
        <v>115.6</v>
      </c>
      <c r="U17" s="182"/>
      <c r="V17" s="182"/>
    </row>
    <row r="18" spans="1:22" ht="25.5">
      <c r="A18" s="62" t="s">
        <v>47</v>
      </c>
      <c r="B18" s="185" t="s">
        <v>240</v>
      </c>
      <c r="C18" s="181">
        <v>180</v>
      </c>
      <c r="D18" s="181">
        <v>180</v>
      </c>
      <c r="E18" s="182"/>
      <c r="F18" s="182"/>
      <c r="G18" s="181">
        <v>100</v>
      </c>
      <c r="H18" s="181">
        <v>70</v>
      </c>
      <c r="I18" s="182"/>
      <c r="J18" s="182"/>
      <c r="K18" s="181">
        <v>101.98</v>
      </c>
      <c r="L18" s="181">
        <v>50.99</v>
      </c>
      <c r="M18" s="182"/>
      <c r="N18" s="182"/>
      <c r="O18" s="181">
        <v>160.20000000000002</v>
      </c>
      <c r="P18" s="181">
        <v>80.100000000000009</v>
      </c>
      <c r="Q18" s="182"/>
      <c r="R18" s="182"/>
      <c r="S18" s="181">
        <v>269.60000000000002</v>
      </c>
      <c r="T18" s="181">
        <v>134.80000000000001</v>
      </c>
      <c r="U18" s="182"/>
      <c r="V18" s="182"/>
    </row>
    <row r="19" spans="1:22" ht="25.5">
      <c r="A19" s="62" t="s">
        <v>48</v>
      </c>
      <c r="B19" s="185" t="s">
        <v>241</v>
      </c>
      <c r="C19" s="181">
        <v>180</v>
      </c>
      <c r="D19" s="181">
        <v>228</v>
      </c>
      <c r="E19" s="182"/>
      <c r="F19" s="182"/>
      <c r="G19" s="181">
        <v>100</v>
      </c>
      <c r="H19" s="181">
        <v>150</v>
      </c>
      <c r="I19" s="182"/>
      <c r="J19" s="182"/>
      <c r="K19" s="181">
        <v>105.58</v>
      </c>
      <c r="L19" s="181">
        <v>52.79</v>
      </c>
      <c r="M19" s="182"/>
      <c r="N19" s="182"/>
      <c r="O19" s="181">
        <v>162</v>
      </c>
      <c r="P19" s="181">
        <v>81</v>
      </c>
      <c r="Q19" s="182"/>
      <c r="R19" s="182"/>
      <c r="S19" s="181">
        <v>269.60000000000002</v>
      </c>
      <c r="T19" s="181">
        <v>134.80000000000001</v>
      </c>
      <c r="U19" s="182"/>
      <c r="V19" s="182"/>
    </row>
    <row r="20" spans="1:22" ht="25.5">
      <c r="A20" s="62" t="s">
        <v>49</v>
      </c>
      <c r="B20" s="185" t="s">
        <v>242</v>
      </c>
      <c r="C20" s="181">
        <v>216</v>
      </c>
      <c r="D20" s="181">
        <v>252</v>
      </c>
      <c r="E20" s="182"/>
      <c r="F20" s="182"/>
      <c r="G20" s="181">
        <v>103.8</v>
      </c>
      <c r="H20" s="181">
        <v>200</v>
      </c>
      <c r="I20" s="182"/>
      <c r="J20" s="182"/>
      <c r="K20" s="181">
        <v>255.5</v>
      </c>
      <c r="L20" s="181">
        <v>127.75</v>
      </c>
      <c r="M20" s="182"/>
      <c r="N20" s="182"/>
      <c r="O20" s="181">
        <v>236.8</v>
      </c>
      <c r="P20" s="181">
        <v>118.4</v>
      </c>
      <c r="Q20" s="182"/>
      <c r="R20" s="182"/>
      <c r="S20" s="181">
        <v>279.2</v>
      </c>
      <c r="T20" s="181">
        <v>139.6</v>
      </c>
      <c r="U20" s="182"/>
      <c r="V20" s="182"/>
    </row>
    <row r="21" spans="1:22" ht="25.5">
      <c r="A21" s="62" t="s">
        <v>51</v>
      </c>
      <c r="B21" s="185" t="s">
        <v>243</v>
      </c>
      <c r="C21" s="181">
        <v>420</v>
      </c>
      <c r="D21" s="181">
        <v>324</v>
      </c>
      <c r="E21" s="182"/>
      <c r="F21" s="182"/>
      <c r="G21" s="181">
        <v>200.84</v>
      </c>
      <c r="H21" s="181">
        <v>400</v>
      </c>
      <c r="I21" s="182"/>
      <c r="J21" s="182"/>
      <c r="K21" s="181">
        <v>373.7</v>
      </c>
      <c r="L21" s="181">
        <v>186.85</v>
      </c>
      <c r="M21" s="182"/>
      <c r="N21" s="182"/>
      <c r="O21" s="181">
        <v>544</v>
      </c>
      <c r="P21" s="181">
        <v>272</v>
      </c>
      <c r="Q21" s="182"/>
      <c r="R21" s="182"/>
      <c r="S21" s="181">
        <v>404</v>
      </c>
      <c r="T21" s="181">
        <v>202</v>
      </c>
      <c r="U21" s="182"/>
      <c r="V21" s="182"/>
    </row>
    <row r="22" spans="1:22" ht="25.5">
      <c r="A22" s="62" t="s">
        <v>53</v>
      </c>
      <c r="B22" s="185" t="s">
        <v>244</v>
      </c>
      <c r="C22" s="181">
        <v>1300</v>
      </c>
      <c r="D22" s="181">
        <v>680</v>
      </c>
      <c r="E22" s="182"/>
      <c r="F22" s="182"/>
      <c r="G22" s="181">
        <v>400</v>
      </c>
      <c r="H22" s="181">
        <v>400</v>
      </c>
      <c r="I22" s="182"/>
      <c r="J22" s="182"/>
      <c r="K22" s="181">
        <v>416.48</v>
      </c>
      <c r="L22" s="181">
        <v>208.24</v>
      </c>
      <c r="M22" s="182"/>
      <c r="N22" s="182"/>
      <c r="O22" s="181">
        <v>901.2</v>
      </c>
      <c r="P22" s="181">
        <v>450.6</v>
      </c>
      <c r="Q22" s="182"/>
      <c r="R22" s="182"/>
      <c r="S22" s="181">
        <v>2320</v>
      </c>
      <c r="T22" s="181">
        <v>1160</v>
      </c>
      <c r="U22" s="182"/>
      <c r="V22" s="182"/>
    </row>
    <row r="23" spans="1:22" ht="25.5">
      <c r="A23" s="62" t="s">
        <v>54</v>
      </c>
      <c r="B23" s="185" t="s">
        <v>245</v>
      </c>
      <c r="C23" s="181">
        <v>1300</v>
      </c>
      <c r="D23" s="181">
        <v>800</v>
      </c>
      <c r="E23" s="182"/>
      <c r="F23" s="182"/>
      <c r="G23" s="181">
        <v>683.66</v>
      </c>
      <c r="H23" s="181">
        <v>650</v>
      </c>
      <c r="I23" s="182"/>
      <c r="J23" s="182"/>
      <c r="K23" s="181">
        <v>426.1</v>
      </c>
      <c r="L23" s="181">
        <v>213.05</v>
      </c>
      <c r="M23" s="182"/>
      <c r="N23" s="182"/>
      <c r="O23" s="181">
        <v>1207.1400000000001</v>
      </c>
      <c r="P23" s="181">
        <v>603.57000000000005</v>
      </c>
      <c r="Q23" s="182"/>
      <c r="R23" s="182"/>
      <c r="S23" s="181">
        <v>2800</v>
      </c>
      <c r="T23" s="181">
        <v>1400</v>
      </c>
      <c r="U23" s="182"/>
      <c r="V23" s="182"/>
    </row>
    <row r="24" spans="1:22" ht="25.5">
      <c r="A24" s="62" t="s">
        <v>56</v>
      </c>
      <c r="B24" s="185" t="s">
        <v>246</v>
      </c>
      <c r="C24" s="181">
        <v>1300</v>
      </c>
      <c r="D24" s="181">
        <v>900</v>
      </c>
      <c r="E24" s="182"/>
      <c r="F24" s="182"/>
      <c r="G24" s="181">
        <v>720.94</v>
      </c>
      <c r="H24" s="181">
        <v>800</v>
      </c>
      <c r="I24" s="182"/>
      <c r="J24" s="182"/>
      <c r="K24" s="181">
        <v>2188.0300000000002</v>
      </c>
      <c r="L24" s="181">
        <v>1143.74</v>
      </c>
      <c r="M24" s="182"/>
      <c r="N24" s="182"/>
      <c r="O24" s="181">
        <v>1414.4</v>
      </c>
      <c r="P24" s="181">
        <v>707.2</v>
      </c>
      <c r="Q24" s="182"/>
      <c r="R24" s="182"/>
      <c r="S24" s="181">
        <v>2800</v>
      </c>
      <c r="T24" s="181">
        <v>1400</v>
      </c>
      <c r="U24" s="182"/>
      <c r="V24" s="182"/>
    </row>
    <row r="25" spans="1:22" ht="25.5">
      <c r="A25" s="62" t="s">
        <v>58</v>
      </c>
      <c r="B25" s="185" t="s">
        <v>247</v>
      </c>
      <c r="C25" s="181">
        <v>2400</v>
      </c>
      <c r="D25" s="181">
        <v>1500</v>
      </c>
      <c r="E25" s="182"/>
      <c r="F25" s="182"/>
      <c r="G25" s="181">
        <v>800</v>
      </c>
      <c r="H25" s="181">
        <v>900</v>
      </c>
      <c r="I25" s="182"/>
      <c r="J25" s="182"/>
      <c r="K25" s="181">
        <v>2416.6</v>
      </c>
      <c r="L25" s="181">
        <v>1230.29</v>
      </c>
      <c r="M25" s="182"/>
      <c r="N25" s="182"/>
      <c r="O25" s="181">
        <v>1720</v>
      </c>
      <c r="P25" s="181">
        <v>860</v>
      </c>
      <c r="Q25" s="182"/>
      <c r="R25" s="182"/>
      <c r="S25" s="181">
        <v>4240</v>
      </c>
      <c r="T25" s="181">
        <v>2120</v>
      </c>
      <c r="U25" s="182"/>
      <c r="V25" s="182"/>
    </row>
    <row r="26" spans="1:22" ht="25.5">
      <c r="A26" s="62" t="s">
        <v>59</v>
      </c>
      <c r="B26" s="185" t="s">
        <v>248</v>
      </c>
      <c r="C26" s="181">
        <v>2400</v>
      </c>
      <c r="D26" s="181">
        <v>1920</v>
      </c>
      <c r="E26" s="182"/>
      <c r="F26" s="182"/>
      <c r="G26" s="181">
        <v>917.86</v>
      </c>
      <c r="H26" s="181">
        <v>1700</v>
      </c>
      <c r="I26" s="182"/>
      <c r="J26" s="182"/>
      <c r="K26" s="181">
        <v>2679.12</v>
      </c>
      <c r="L26" s="181">
        <v>1339.56</v>
      </c>
      <c r="M26" s="182"/>
      <c r="N26" s="182"/>
      <c r="O26" s="181">
        <v>1804.8</v>
      </c>
      <c r="P26" s="181">
        <v>902.4</v>
      </c>
      <c r="Q26" s="182"/>
      <c r="R26" s="182"/>
      <c r="S26" s="181">
        <v>5200</v>
      </c>
      <c r="T26" s="181">
        <v>2600</v>
      </c>
      <c r="U26" s="182"/>
      <c r="V26" s="182"/>
    </row>
    <row r="27" spans="1:22" ht="25.5">
      <c r="A27" s="62" t="s">
        <v>60</v>
      </c>
      <c r="B27" s="185" t="s">
        <v>249</v>
      </c>
      <c r="C27" s="181">
        <v>3000</v>
      </c>
      <c r="D27" s="181">
        <v>2208</v>
      </c>
      <c r="E27" s="182"/>
      <c r="F27" s="182"/>
      <c r="G27" s="181">
        <v>1380.68</v>
      </c>
      <c r="H27" s="181">
        <v>1800</v>
      </c>
      <c r="I27" s="182"/>
      <c r="J27" s="182"/>
      <c r="K27" s="181">
        <v>3047.06</v>
      </c>
      <c r="L27" s="181">
        <v>1523.53</v>
      </c>
      <c r="M27" s="182"/>
      <c r="N27" s="182"/>
      <c r="O27" s="181">
        <v>1886</v>
      </c>
      <c r="P27" s="181">
        <v>943</v>
      </c>
      <c r="Q27" s="182"/>
      <c r="R27" s="182"/>
      <c r="S27" s="181">
        <v>5680</v>
      </c>
      <c r="T27" s="181">
        <v>2840</v>
      </c>
      <c r="U27" s="182"/>
      <c r="V27" s="182"/>
    </row>
    <row r="28" spans="1:22" ht="25.5">
      <c r="A28" s="62" t="s">
        <v>61</v>
      </c>
      <c r="B28" s="185" t="s">
        <v>250</v>
      </c>
      <c r="C28" s="181">
        <v>4200</v>
      </c>
      <c r="D28" s="181">
        <v>3276</v>
      </c>
      <c r="E28" s="182"/>
      <c r="F28" s="182"/>
      <c r="G28" s="181">
        <v>1968.92</v>
      </c>
      <c r="H28" s="181">
        <v>2000</v>
      </c>
      <c r="I28" s="182"/>
      <c r="J28" s="182"/>
      <c r="K28" s="181">
        <v>3204.78</v>
      </c>
      <c r="L28" s="181">
        <v>1602.39</v>
      </c>
      <c r="M28" s="182"/>
      <c r="N28" s="182"/>
      <c r="O28" s="181">
        <v>2572</v>
      </c>
      <c r="P28" s="181">
        <v>1286</v>
      </c>
      <c r="Q28" s="182"/>
      <c r="R28" s="182"/>
      <c r="S28" s="181">
        <v>5968</v>
      </c>
      <c r="T28" s="181">
        <v>2984</v>
      </c>
      <c r="U28" s="182"/>
      <c r="V28" s="182"/>
    </row>
    <row r="29" spans="1:22" ht="25.5">
      <c r="A29" s="62" t="s">
        <v>62</v>
      </c>
      <c r="B29" s="185" t="s">
        <v>251</v>
      </c>
      <c r="C29" s="181">
        <v>6000</v>
      </c>
      <c r="D29" s="181">
        <v>4000</v>
      </c>
      <c r="E29" s="182"/>
      <c r="F29" s="182"/>
      <c r="G29" s="181">
        <v>3930.02</v>
      </c>
      <c r="H29" s="181">
        <v>2200</v>
      </c>
      <c r="I29" s="182"/>
      <c r="J29" s="182"/>
      <c r="K29" s="181">
        <v>3426.34</v>
      </c>
      <c r="L29" s="181">
        <v>1713.17</v>
      </c>
      <c r="M29" s="182"/>
      <c r="N29" s="182"/>
      <c r="O29" s="181">
        <v>3000</v>
      </c>
      <c r="P29" s="181">
        <v>1500</v>
      </c>
      <c r="Q29" s="182"/>
      <c r="R29" s="182"/>
      <c r="S29" s="181">
        <v>10000</v>
      </c>
      <c r="T29" s="181">
        <v>5000</v>
      </c>
      <c r="U29" s="182"/>
      <c r="V29" s="182"/>
    </row>
    <row r="30" spans="1:22" ht="25.5">
      <c r="A30" s="62" t="s">
        <v>63</v>
      </c>
      <c r="B30" s="185" t="s">
        <v>252</v>
      </c>
      <c r="C30" s="181">
        <v>6000</v>
      </c>
      <c r="D30" s="181">
        <v>4800</v>
      </c>
      <c r="E30" s="182"/>
      <c r="F30" s="182"/>
      <c r="G30" s="181">
        <v>5916.02</v>
      </c>
      <c r="H30" s="181">
        <v>2958.01</v>
      </c>
      <c r="I30" s="182"/>
      <c r="J30" s="182"/>
      <c r="K30" s="181">
        <v>3680.27</v>
      </c>
      <c r="L30" s="181">
        <v>2299</v>
      </c>
      <c r="M30" s="182"/>
      <c r="N30" s="182"/>
      <c r="O30" s="181">
        <v>3773.0000000000005</v>
      </c>
      <c r="P30" s="181">
        <v>1886.5000000000002</v>
      </c>
      <c r="Q30" s="182"/>
      <c r="R30" s="182"/>
      <c r="S30" s="181">
        <v>500</v>
      </c>
      <c r="T30" s="181">
        <v>3000</v>
      </c>
      <c r="U30" s="182"/>
      <c r="V30" s="182"/>
    </row>
    <row r="31" spans="1:22" ht="25.5">
      <c r="A31" s="62" t="s">
        <v>64</v>
      </c>
      <c r="B31" s="185" t="s">
        <v>253</v>
      </c>
      <c r="C31" s="181">
        <v>10000</v>
      </c>
      <c r="D31" s="181">
        <v>6000</v>
      </c>
      <c r="E31" s="182"/>
      <c r="F31" s="182"/>
      <c r="G31" s="181">
        <v>8893.6200000000008</v>
      </c>
      <c r="H31" s="181">
        <v>4446.8100000000004</v>
      </c>
      <c r="I31" s="182"/>
      <c r="J31" s="182"/>
      <c r="K31" s="181">
        <v>4890.2700000000004</v>
      </c>
      <c r="L31" s="181">
        <v>3509</v>
      </c>
      <c r="M31" s="182"/>
      <c r="N31" s="182"/>
      <c r="O31" s="181">
        <v>5753.0000000000009</v>
      </c>
      <c r="P31" s="181">
        <v>2876.5000000000005</v>
      </c>
      <c r="Q31" s="182"/>
      <c r="R31" s="182"/>
      <c r="S31" s="181">
        <v>5000</v>
      </c>
      <c r="T31" s="181">
        <v>3750</v>
      </c>
      <c r="U31" s="182"/>
      <c r="V31" s="182"/>
    </row>
    <row r="32" spans="1:22" ht="25.5">
      <c r="A32" s="62" t="s">
        <v>65</v>
      </c>
      <c r="B32" s="185" t="s">
        <v>254</v>
      </c>
      <c r="C32" s="181">
        <v>12000</v>
      </c>
      <c r="D32" s="181">
        <v>8000</v>
      </c>
      <c r="E32" s="182"/>
      <c r="F32" s="182"/>
      <c r="G32" s="181">
        <v>10000</v>
      </c>
      <c r="H32" s="181">
        <v>5000</v>
      </c>
      <c r="I32" s="182"/>
      <c r="J32" s="182"/>
      <c r="K32" s="181">
        <v>5779.41</v>
      </c>
      <c r="L32" s="181">
        <v>4147</v>
      </c>
      <c r="M32" s="182"/>
      <c r="N32" s="182"/>
      <c r="O32" s="181">
        <v>7543.8</v>
      </c>
      <c r="P32" s="181">
        <v>3771.9</v>
      </c>
      <c r="Q32" s="182"/>
      <c r="R32" s="182"/>
      <c r="S32" s="181">
        <v>5000</v>
      </c>
      <c r="T32" s="181">
        <v>7500</v>
      </c>
      <c r="U32" s="182"/>
      <c r="V32" s="182"/>
    </row>
    <row r="33" spans="1:22" ht="25.5">
      <c r="A33" s="62" t="s">
        <v>499</v>
      </c>
      <c r="B33" s="185" t="s">
        <v>516</v>
      </c>
      <c r="C33" s="181">
        <v>500</v>
      </c>
      <c r="D33" s="181">
        <v>300</v>
      </c>
      <c r="E33" s="182"/>
      <c r="F33" s="182"/>
      <c r="G33" s="181">
        <v>800</v>
      </c>
      <c r="H33" s="181">
        <v>750</v>
      </c>
      <c r="I33" s="182"/>
      <c r="J33" s="182"/>
      <c r="K33" s="181">
        <v>129.08000000000001</v>
      </c>
      <c r="L33" s="181">
        <v>64.540000000000006</v>
      </c>
      <c r="M33" s="182"/>
      <c r="N33" s="182"/>
      <c r="O33" s="181">
        <v>1130</v>
      </c>
      <c r="P33" s="181">
        <v>565</v>
      </c>
      <c r="Q33" s="182"/>
      <c r="R33" s="182"/>
      <c r="S33" s="181">
        <v>1500</v>
      </c>
      <c r="T33" s="181">
        <v>750</v>
      </c>
      <c r="U33" s="182"/>
      <c r="V33" s="182"/>
    </row>
    <row r="34" spans="1:22" ht="25.5">
      <c r="A34" s="62" t="s">
        <v>500</v>
      </c>
      <c r="B34" s="185" t="s">
        <v>517</v>
      </c>
      <c r="C34" s="181">
        <v>1000</v>
      </c>
      <c r="D34" s="181">
        <v>500</v>
      </c>
      <c r="E34" s="182"/>
      <c r="F34" s="182"/>
      <c r="G34" s="181">
        <v>1000</v>
      </c>
      <c r="H34" s="181">
        <v>950</v>
      </c>
      <c r="I34" s="182"/>
      <c r="J34" s="182"/>
      <c r="K34" s="181">
        <v>846.34</v>
      </c>
      <c r="L34" s="181">
        <v>625.71</v>
      </c>
      <c r="M34" s="182"/>
      <c r="N34" s="182"/>
      <c r="O34" s="181">
        <v>1240</v>
      </c>
      <c r="P34" s="181">
        <v>620</v>
      </c>
      <c r="Q34" s="182"/>
      <c r="R34" s="182"/>
      <c r="S34" s="181">
        <v>1500</v>
      </c>
      <c r="T34" s="181">
        <v>1000</v>
      </c>
      <c r="U34" s="182"/>
      <c r="V34" s="182"/>
    </row>
    <row r="35" spans="1:22" ht="25.5">
      <c r="A35" s="62" t="s">
        <v>66</v>
      </c>
      <c r="B35" s="185" t="s">
        <v>255</v>
      </c>
      <c r="C35" s="181">
        <v>98.04</v>
      </c>
      <c r="D35" s="181">
        <v>49.02</v>
      </c>
      <c r="E35" s="182"/>
      <c r="F35" s="182"/>
      <c r="G35" s="181">
        <v>130</v>
      </c>
      <c r="H35" s="181">
        <v>130</v>
      </c>
      <c r="I35" s="182"/>
      <c r="J35" s="182"/>
      <c r="K35" s="181">
        <v>194.82</v>
      </c>
      <c r="L35" s="181">
        <v>97.41</v>
      </c>
      <c r="M35" s="182"/>
      <c r="N35" s="182"/>
      <c r="O35" s="181">
        <v>2316</v>
      </c>
      <c r="P35" s="181">
        <v>1158</v>
      </c>
      <c r="Q35" s="182"/>
      <c r="R35" s="182"/>
      <c r="S35" s="181">
        <v>300</v>
      </c>
      <c r="T35" s="181">
        <v>250</v>
      </c>
      <c r="U35" s="182"/>
      <c r="V35" s="182"/>
    </row>
    <row r="36" spans="1:22" ht="25.5">
      <c r="A36" s="62" t="s">
        <v>67</v>
      </c>
      <c r="B36" s="185" t="s">
        <v>256</v>
      </c>
      <c r="C36" s="181">
        <v>156.04</v>
      </c>
      <c r="D36" s="181">
        <v>78.02</v>
      </c>
      <c r="E36" s="182"/>
      <c r="F36" s="182"/>
      <c r="G36" s="181">
        <v>130</v>
      </c>
      <c r="H36" s="181">
        <v>140</v>
      </c>
      <c r="I36" s="182"/>
      <c r="J36" s="182"/>
      <c r="K36" s="181">
        <v>241.28</v>
      </c>
      <c r="L36" s="181">
        <v>120.64</v>
      </c>
      <c r="M36" s="182"/>
      <c r="N36" s="182"/>
      <c r="O36" s="181">
        <v>2424</v>
      </c>
      <c r="P36" s="181">
        <v>1212</v>
      </c>
      <c r="Q36" s="182"/>
      <c r="R36" s="182"/>
      <c r="S36" s="181">
        <v>500</v>
      </c>
      <c r="T36" s="181">
        <v>250</v>
      </c>
      <c r="U36" s="182"/>
      <c r="V36" s="182"/>
    </row>
    <row r="37" spans="1:22" ht="25.5">
      <c r="A37" s="62" t="s">
        <v>68</v>
      </c>
      <c r="B37" s="185" t="s">
        <v>257</v>
      </c>
      <c r="C37" s="181">
        <v>280</v>
      </c>
      <c r="D37" s="181">
        <v>140</v>
      </c>
      <c r="E37" s="182"/>
      <c r="F37" s="182"/>
      <c r="G37" s="181">
        <v>250</v>
      </c>
      <c r="H37" s="181">
        <v>150</v>
      </c>
      <c r="I37" s="182"/>
      <c r="J37" s="182"/>
      <c r="K37" s="181">
        <v>322.58</v>
      </c>
      <c r="L37" s="181">
        <v>161.29</v>
      </c>
      <c r="M37" s="182"/>
      <c r="N37" s="182"/>
      <c r="O37" s="181">
        <v>2640</v>
      </c>
      <c r="P37" s="181">
        <v>1320</v>
      </c>
      <c r="Q37" s="182"/>
      <c r="R37" s="182"/>
      <c r="S37" s="181">
        <v>500</v>
      </c>
      <c r="T37" s="181">
        <v>250</v>
      </c>
      <c r="U37" s="182"/>
      <c r="V37" s="182"/>
    </row>
    <row r="38" spans="1:22" ht="12.75">
      <c r="A38" s="62" t="s">
        <v>69</v>
      </c>
      <c r="B38" s="185" t="s">
        <v>258</v>
      </c>
      <c r="C38" s="181">
        <v>110</v>
      </c>
      <c r="D38" s="181">
        <v>55</v>
      </c>
      <c r="E38" s="182"/>
      <c r="F38" s="182"/>
      <c r="G38" s="181">
        <v>100</v>
      </c>
      <c r="H38" s="181">
        <v>120</v>
      </c>
      <c r="I38" s="182"/>
      <c r="J38" s="182"/>
      <c r="K38" s="181">
        <v>44.58</v>
      </c>
      <c r="L38" s="181">
        <v>22.29</v>
      </c>
      <c r="M38" s="182"/>
      <c r="N38" s="182"/>
      <c r="O38" s="181">
        <v>786.4</v>
      </c>
      <c r="P38" s="181">
        <v>393.2</v>
      </c>
      <c r="Q38" s="182"/>
      <c r="R38" s="182"/>
      <c r="S38" s="181">
        <v>500</v>
      </c>
      <c r="T38" s="181">
        <v>500</v>
      </c>
      <c r="U38" s="182"/>
      <c r="V38" s="182"/>
    </row>
    <row r="39" spans="1:22" ht="12.75">
      <c r="A39" s="62" t="s">
        <v>70</v>
      </c>
      <c r="B39" s="185" t="s">
        <v>259</v>
      </c>
      <c r="C39" s="181">
        <v>120</v>
      </c>
      <c r="D39" s="181">
        <v>60</v>
      </c>
      <c r="E39" s="182"/>
      <c r="F39" s="182"/>
      <c r="G39" s="181">
        <v>120</v>
      </c>
      <c r="H39" s="181">
        <v>140</v>
      </c>
      <c r="I39" s="182"/>
      <c r="J39" s="182"/>
      <c r="K39" s="181">
        <v>51.42</v>
      </c>
      <c r="L39" s="181">
        <v>25.71</v>
      </c>
      <c r="M39" s="182"/>
      <c r="N39" s="182"/>
      <c r="O39" s="181">
        <v>852.8</v>
      </c>
      <c r="P39" s="181">
        <v>426.4</v>
      </c>
      <c r="Q39" s="182"/>
      <c r="R39" s="182"/>
      <c r="S39" s="181">
        <v>500</v>
      </c>
      <c r="T39" s="181">
        <v>1100</v>
      </c>
      <c r="U39" s="182"/>
      <c r="V39" s="182"/>
    </row>
    <row r="40" spans="1:22" ht="12.75">
      <c r="A40" s="62" t="s">
        <v>71</v>
      </c>
      <c r="B40" s="185" t="s">
        <v>260</v>
      </c>
      <c r="C40" s="181">
        <v>150</v>
      </c>
      <c r="D40" s="181">
        <v>75</v>
      </c>
      <c r="E40" s="182"/>
      <c r="F40" s="182"/>
      <c r="G40" s="181">
        <v>140</v>
      </c>
      <c r="H40" s="181">
        <v>160</v>
      </c>
      <c r="I40" s="182"/>
      <c r="J40" s="182"/>
      <c r="K40" s="181">
        <v>150.06</v>
      </c>
      <c r="L40" s="181">
        <v>75.03</v>
      </c>
      <c r="M40" s="182"/>
      <c r="N40" s="182"/>
      <c r="O40" s="181">
        <v>1100</v>
      </c>
      <c r="P40" s="181">
        <v>550</v>
      </c>
      <c r="Q40" s="182"/>
      <c r="R40" s="182"/>
      <c r="S40" s="181">
        <v>500</v>
      </c>
      <c r="T40" s="181">
        <v>1200</v>
      </c>
      <c r="U40" s="182"/>
      <c r="V40" s="182"/>
    </row>
    <row r="41" spans="1:22" ht="12.75">
      <c r="A41" s="62" t="s">
        <v>72</v>
      </c>
      <c r="B41" s="185" t="s">
        <v>261</v>
      </c>
      <c r="C41" s="181">
        <v>240</v>
      </c>
      <c r="D41" s="181">
        <v>120</v>
      </c>
      <c r="E41" s="182"/>
      <c r="F41" s="182"/>
      <c r="G41" s="181">
        <v>160</v>
      </c>
      <c r="H41" s="181">
        <v>180</v>
      </c>
      <c r="I41" s="182"/>
      <c r="J41" s="182"/>
      <c r="K41" s="181">
        <v>54.16</v>
      </c>
      <c r="L41" s="181">
        <v>27.08</v>
      </c>
      <c r="M41" s="182"/>
      <c r="N41" s="182"/>
      <c r="O41" s="181">
        <v>1507.2</v>
      </c>
      <c r="P41" s="181">
        <v>753.6</v>
      </c>
      <c r="Q41" s="182"/>
      <c r="R41" s="182"/>
      <c r="S41" s="181">
        <v>500</v>
      </c>
      <c r="T41" s="181">
        <v>1500</v>
      </c>
      <c r="U41" s="182"/>
      <c r="V41" s="182"/>
    </row>
    <row r="42" spans="1:22" ht="12.75">
      <c r="A42" s="62" t="s">
        <v>73</v>
      </c>
      <c r="B42" s="185" t="s">
        <v>262</v>
      </c>
      <c r="C42" s="181">
        <v>240</v>
      </c>
      <c r="D42" s="181">
        <v>130</v>
      </c>
      <c r="E42" s="182"/>
      <c r="F42" s="182"/>
      <c r="G42" s="181">
        <v>683.66</v>
      </c>
      <c r="H42" s="181">
        <v>650</v>
      </c>
      <c r="I42" s="182"/>
      <c r="J42" s="182"/>
      <c r="K42" s="181">
        <v>370.28</v>
      </c>
      <c r="L42" s="181">
        <v>185.14</v>
      </c>
      <c r="M42" s="182"/>
      <c r="N42" s="182"/>
      <c r="O42" s="181">
        <v>2205</v>
      </c>
      <c r="P42" s="181">
        <v>1102.5</v>
      </c>
      <c r="Q42" s="182"/>
      <c r="R42" s="182"/>
      <c r="S42" s="181">
        <v>500</v>
      </c>
      <c r="T42" s="181">
        <v>1500</v>
      </c>
      <c r="U42" s="182"/>
      <c r="V42" s="182"/>
    </row>
    <row r="43" spans="1:22" ht="12.75">
      <c r="A43" s="62" t="s">
        <v>74</v>
      </c>
      <c r="B43" s="185" t="s">
        <v>263</v>
      </c>
      <c r="C43" s="181">
        <v>700</v>
      </c>
      <c r="D43" s="181">
        <v>350</v>
      </c>
      <c r="E43" s="182"/>
      <c r="F43" s="182"/>
      <c r="G43" s="181">
        <v>720.94</v>
      </c>
      <c r="H43" s="181">
        <v>800</v>
      </c>
      <c r="I43" s="182"/>
      <c r="J43" s="182"/>
      <c r="K43" s="181">
        <v>1551.41</v>
      </c>
      <c r="L43" s="181">
        <v>1154.76</v>
      </c>
      <c r="M43" s="182"/>
      <c r="N43" s="182"/>
      <c r="O43" s="181">
        <v>2865.6</v>
      </c>
      <c r="P43" s="181">
        <v>1432.8</v>
      </c>
      <c r="Q43" s="182"/>
      <c r="R43" s="182"/>
      <c r="S43" s="181">
        <v>500</v>
      </c>
      <c r="T43" s="181">
        <v>1800</v>
      </c>
      <c r="U43" s="182"/>
      <c r="V43" s="182"/>
    </row>
    <row r="44" spans="1:22" ht="12.75">
      <c r="A44" s="62" t="s">
        <v>75</v>
      </c>
      <c r="B44" s="185" t="s">
        <v>264</v>
      </c>
      <c r="C44" s="181">
        <v>1000</v>
      </c>
      <c r="D44" s="181">
        <v>500</v>
      </c>
      <c r="E44" s="182"/>
      <c r="F44" s="182"/>
      <c r="G44" s="181">
        <v>800</v>
      </c>
      <c r="H44" s="181">
        <v>1000</v>
      </c>
      <c r="I44" s="182"/>
      <c r="J44" s="182"/>
      <c r="K44" s="181">
        <v>2688.34</v>
      </c>
      <c r="L44" s="181">
        <v>1344.17</v>
      </c>
      <c r="M44" s="182"/>
      <c r="N44" s="182"/>
      <c r="O44" s="181">
        <v>3724.2000000000003</v>
      </c>
      <c r="P44" s="181">
        <v>1862.1000000000001</v>
      </c>
      <c r="Q44" s="182"/>
      <c r="R44" s="182"/>
      <c r="S44" s="181">
        <v>500</v>
      </c>
      <c r="T44" s="181">
        <v>2000</v>
      </c>
      <c r="U44" s="182"/>
      <c r="V44" s="182"/>
    </row>
    <row r="45" spans="1:22" ht="12.75">
      <c r="A45" s="126" t="s">
        <v>76</v>
      </c>
      <c r="B45" s="185" t="s">
        <v>265</v>
      </c>
      <c r="C45" s="183"/>
      <c r="D45" s="181">
        <v>1</v>
      </c>
      <c r="E45" s="182"/>
      <c r="F45" s="182"/>
      <c r="G45" s="183"/>
      <c r="H45" s="181">
        <v>10</v>
      </c>
      <c r="I45" s="182"/>
      <c r="J45" s="182"/>
      <c r="K45" s="183"/>
      <c r="L45" s="181">
        <v>11</v>
      </c>
      <c r="M45" s="182"/>
      <c r="N45" s="182"/>
      <c r="O45" s="183"/>
      <c r="P45" s="181">
        <v>2</v>
      </c>
      <c r="Q45" s="182"/>
      <c r="R45" s="182"/>
      <c r="S45" s="183"/>
      <c r="T45" s="181">
        <v>10</v>
      </c>
      <c r="U45" s="182"/>
      <c r="V45" s="182"/>
    </row>
    <row r="46" spans="1:22" ht="12.75">
      <c r="A46" s="126" t="s">
        <v>266</v>
      </c>
      <c r="B46" s="185" t="s">
        <v>267</v>
      </c>
      <c r="C46" s="183"/>
      <c r="D46" s="183"/>
      <c r="E46" s="184">
        <v>200</v>
      </c>
      <c r="F46" s="184">
        <v>150</v>
      </c>
      <c r="G46" s="183"/>
      <c r="H46" s="183"/>
      <c r="I46" s="184">
        <v>100</v>
      </c>
      <c r="J46" s="184">
        <v>200</v>
      </c>
      <c r="K46" s="183"/>
      <c r="L46" s="183"/>
      <c r="M46" s="184">
        <v>110</v>
      </c>
      <c r="N46" s="184">
        <v>100</v>
      </c>
      <c r="O46" s="183"/>
      <c r="P46" s="183"/>
      <c r="Q46" s="184">
        <v>214</v>
      </c>
      <c r="R46" s="184">
        <v>214</v>
      </c>
      <c r="S46" s="183"/>
      <c r="T46" s="183"/>
      <c r="U46" s="184">
        <v>10</v>
      </c>
      <c r="V46" s="184">
        <v>15</v>
      </c>
    </row>
    <row r="47" spans="1:22" ht="12.75">
      <c r="A47" s="126" t="s">
        <v>268</v>
      </c>
      <c r="B47" s="185" t="s">
        <v>269</v>
      </c>
      <c r="C47" s="183"/>
      <c r="D47" s="183"/>
      <c r="E47" s="182"/>
      <c r="F47" s="184">
        <v>150</v>
      </c>
      <c r="G47" s="183"/>
      <c r="H47" s="183"/>
      <c r="I47" s="182"/>
      <c r="J47" s="184">
        <v>110</v>
      </c>
      <c r="K47" s="183"/>
      <c r="L47" s="183"/>
      <c r="M47" s="182"/>
      <c r="N47" s="184">
        <v>20</v>
      </c>
      <c r="O47" s="183"/>
      <c r="P47" s="183"/>
      <c r="Q47" s="182"/>
      <c r="R47" s="184">
        <v>110</v>
      </c>
      <c r="S47" s="183"/>
      <c r="T47" s="183"/>
      <c r="U47" s="182"/>
      <c r="V47" s="184">
        <v>15</v>
      </c>
    </row>
    <row r="48" spans="1:22" ht="25.5">
      <c r="A48" s="126" t="s">
        <v>270</v>
      </c>
      <c r="B48" s="185" t="s">
        <v>271</v>
      </c>
      <c r="C48" s="183"/>
      <c r="D48" s="183"/>
      <c r="E48" s="184">
        <v>200</v>
      </c>
      <c r="F48" s="184">
        <v>155</v>
      </c>
      <c r="G48" s="183"/>
      <c r="H48" s="183"/>
      <c r="I48" s="184">
        <v>200</v>
      </c>
      <c r="J48" s="184">
        <v>210</v>
      </c>
      <c r="K48" s="183"/>
      <c r="L48" s="183"/>
      <c r="M48" s="184">
        <v>110</v>
      </c>
      <c r="N48" s="184">
        <v>120</v>
      </c>
      <c r="O48" s="183"/>
      <c r="P48" s="183"/>
      <c r="Q48" s="184">
        <v>220</v>
      </c>
      <c r="R48" s="184">
        <v>220</v>
      </c>
      <c r="S48" s="183"/>
      <c r="T48" s="183"/>
      <c r="U48" s="184">
        <v>10</v>
      </c>
      <c r="V48" s="184">
        <v>15</v>
      </c>
    </row>
    <row r="49" spans="1:22" ht="12.75">
      <c r="A49" s="264" t="s">
        <v>272</v>
      </c>
      <c r="B49" s="265" t="s">
        <v>273</v>
      </c>
      <c r="C49" s="183"/>
      <c r="D49" s="181">
        <v>3.34</v>
      </c>
      <c r="E49" s="182"/>
      <c r="F49" s="182"/>
      <c r="G49" s="183"/>
      <c r="H49" s="181">
        <v>9</v>
      </c>
      <c r="I49" s="182"/>
      <c r="J49" s="182"/>
      <c r="K49" s="183"/>
      <c r="L49" s="181">
        <v>11</v>
      </c>
      <c r="M49" s="182"/>
      <c r="N49" s="182"/>
      <c r="O49" s="183"/>
      <c r="P49" s="181">
        <v>6.84</v>
      </c>
      <c r="Q49" s="182"/>
      <c r="R49" s="182"/>
      <c r="S49" s="183"/>
      <c r="T49" s="181">
        <v>5</v>
      </c>
      <c r="U49" s="182"/>
      <c r="V49" s="182"/>
    </row>
    <row r="50" spans="1:22" ht="12.75">
      <c r="A50" s="264" t="s">
        <v>274</v>
      </c>
      <c r="B50" s="265" t="s">
        <v>275</v>
      </c>
      <c r="C50" s="183"/>
      <c r="D50" s="181">
        <v>3.05</v>
      </c>
      <c r="E50" s="182"/>
      <c r="F50" s="182"/>
      <c r="G50" s="183"/>
      <c r="H50" s="181">
        <v>6.5</v>
      </c>
      <c r="I50" s="182"/>
      <c r="J50" s="182"/>
      <c r="K50" s="183"/>
      <c r="L50" s="181">
        <v>11</v>
      </c>
      <c r="M50" s="182"/>
      <c r="N50" s="182"/>
      <c r="O50" s="183"/>
      <c r="P50" s="181">
        <v>6.5</v>
      </c>
      <c r="Q50" s="182"/>
      <c r="R50" s="182"/>
      <c r="S50" s="183"/>
      <c r="T50" s="181">
        <v>5</v>
      </c>
      <c r="U50" s="182"/>
      <c r="V50" s="182"/>
    </row>
    <row r="51" spans="1:22" ht="12.75">
      <c r="A51" s="264" t="s">
        <v>276</v>
      </c>
      <c r="B51" s="265" t="s">
        <v>277</v>
      </c>
      <c r="C51" s="183"/>
      <c r="D51" s="181">
        <v>2.9</v>
      </c>
      <c r="E51" s="182"/>
      <c r="F51" s="182"/>
      <c r="G51" s="183"/>
      <c r="H51" s="181">
        <v>6.23</v>
      </c>
      <c r="I51" s="182"/>
      <c r="J51" s="182"/>
      <c r="K51" s="183"/>
      <c r="L51" s="181">
        <v>11</v>
      </c>
      <c r="M51" s="182"/>
      <c r="N51" s="182"/>
      <c r="O51" s="183"/>
      <c r="P51" s="181">
        <v>6.23</v>
      </c>
      <c r="Q51" s="182"/>
      <c r="R51" s="182"/>
      <c r="S51" s="183"/>
      <c r="T51" s="181">
        <v>5</v>
      </c>
      <c r="U51" s="182"/>
      <c r="V51" s="182"/>
    </row>
    <row r="52" spans="1:22" ht="12.75">
      <c r="A52" s="264" t="s">
        <v>278</v>
      </c>
      <c r="B52" s="265" t="s">
        <v>279</v>
      </c>
      <c r="C52" s="183"/>
      <c r="D52" s="181">
        <v>2.76</v>
      </c>
      <c r="E52" s="182"/>
      <c r="F52" s="182"/>
      <c r="G52" s="183"/>
      <c r="H52" s="181">
        <v>10</v>
      </c>
      <c r="I52" s="182"/>
      <c r="J52" s="182"/>
      <c r="K52" s="183"/>
      <c r="L52" s="181">
        <v>11</v>
      </c>
      <c r="M52" s="182"/>
      <c r="N52" s="182"/>
      <c r="O52" s="183"/>
      <c r="P52" s="181">
        <v>6.05</v>
      </c>
      <c r="Q52" s="182"/>
      <c r="R52" s="182"/>
      <c r="S52" s="183"/>
      <c r="T52" s="181">
        <v>5</v>
      </c>
      <c r="U52" s="182"/>
      <c r="V52" s="182"/>
    </row>
    <row r="53" spans="1:22" ht="12.75">
      <c r="A53" s="264" t="s">
        <v>90</v>
      </c>
      <c r="B53" s="265" t="s">
        <v>280</v>
      </c>
      <c r="C53" s="183"/>
      <c r="D53" s="181">
        <v>2.44</v>
      </c>
      <c r="E53" s="182"/>
      <c r="F53" s="182"/>
      <c r="G53" s="183"/>
      <c r="H53" s="181">
        <v>5.68</v>
      </c>
      <c r="I53" s="182"/>
      <c r="J53" s="182"/>
      <c r="K53" s="183"/>
      <c r="L53" s="181">
        <v>11</v>
      </c>
      <c r="M53" s="182"/>
      <c r="N53" s="182"/>
      <c r="O53" s="183"/>
      <c r="P53" s="181">
        <v>5.68</v>
      </c>
      <c r="Q53" s="182"/>
      <c r="R53" s="182"/>
      <c r="S53" s="183"/>
      <c r="T53" s="181">
        <v>5</v>
      </c>
      <c r="U53" s="182"/>
      <c r="V53" s="182"/>
    </row>
    <row r="54" spans="1:22" ht="12.75">
      <c r="A54" s="126" t="s">
        <v>79</v>
      </c>
      <c r="B54" s="185" t="s">
        <v>281</v>
      </c>
      <c r="C54" s="183"/>
      <c r="D54" s="181">
        <v>20</v>
      </c>
      <c r="E54" s="182"/>
      <c r="F54" s="182"/>
      <c r="G54" s="183"/>
      <c r="H54" s="181">
        <v>42.75</v>
      </c>
      <c r="I54" s="182"/>
      <c r="J54" s="182"/>
      <c r="K54" s="183"/>
      <c r="L54" s="181">
        <v>41</v>
      </c>
      <c r="M54" s="182"/>
      <c r="N54" s="182"/>
      <c r="O54" s="183"/>
      <c r="P54" s="181">
        <v>50</v>
      </c>
      <c r="Q54" s="182"/>
      <c r="R54" s="182"/>
      <c r="S54" s="183"/>
      <c r="T54" s="181">
        <v>2000</v>
      </c>
      <c r="U54" s="182"/>
      <c r="V54" s="182"/>
    </row>
    <row r="55" spans="1:22" ht="12.75">
      <c r="A55" s="126" t="s">
        <v>80</v>
      </c>
      <c r="B55" s="185" t="s">
        <v>282</v>
      </c>
      <c r="C55" s="183"/>
      <c r="D55" s="181">
        <v>20</v>
      </c>
      <c r="E55" s="182"/>
      <c r="F55" s="182"/>
      <c r="G55" s="183"/>
      <c r="H55" s="181">
        <v>20</v>
      </c>
      <c r="I55" s="182"/>
      <c r="J55" s="182"/>
      <c r="K55" s="183"/>
      <c r="L55" s="181">
        <v>70</v>
      </c>
      <c r="M55" s="182"/>
      <c r="N55" s="182"/>
      <c r="O55" s="183"/>
      <c r="P55" s="181">
        <v>15</v>
      </c>
      <c r="Q55" s="182"/>
      <c r="R55" s="182"/>
      <c r="S55" s="183"/>
      <c r="T55" s="181">
        <v>100</v>
      </c>
      <c r="U55" s="182"/>
      <c r="V55" s="182"/>
    </row>
    <row r="56" spans="1:22" ht="25.5">
      <c r="A56" s="126" t="s">
        <v>81</v>
      </c>
      <c r="B56" s="185" t="s">
        <v>283</v>
      </c>
      <c r="C56" s="183"/>
      <c r="D56" s="181">
        <v>100</v>
      </c>
      <c r="E56" s="182"/>
      <c r="F56" s="182"/>
      <c r="G56" s="183"/>
      <c r="H56" s="181">
        <v>20</v>
      </c>
      <c r="I56" s="182"/>
      <c r="J56" s="182"/>
      <c r="K56" s="183"/>
      <c r="L56" s="181">
        <v>130</v>
      </c>
      <c r="M56" s="182"/>
      <c r="N56" s="182"/>
      <c r="O56" s="183"/>
      <c r="P56" s="181">
        <v>1133.33</v>
      </c>
      <c r="Q56" s="182"/>
      <c r="R56" s="182"/>
      <c r="S56" s="183"/>
      <c r="T56" s="181">
        <v>2000</v>
      </c>
      <c r="U56" s="182"/>
      <c r="V56" s="182"/>
    </row>
    <row r="57" spans="1:22" ht="25.5">
      <c r="A57" s="126" t="s">
        <v>82</v>
      </c>
      <c r="B57" s="185" t="s">
        <v>284</v>
      </c>
      <c r="C57" s="183"/>
      <c r="D57" s="181">
        <v>100</v>
      </c>
      <c r="E57" s="182"/>
      <c r="F57" s="182"/>
      <c r="G57" s="183"/>
      <c r="H57" s="181">
        <v>25</v>
      </c>
      <c r="I57" s="182"/>
      <c r="J57" s="182"/>
      <c r="K57" s="183"/>
      <c r="L57" s="181">
        <v>250</v>
      </c>
      <c r="M57" s="182"/>
      <c r="N57" s="182"/>
      <c r="O57" s="183"/>
      <c r="P57" s="181">
        <v>1333.33</v>
      </c>
      <c r="Q57" s="182"/>
      <c r="R57" s="182"/>
      <c r="S57" s="183"/>
      <c r="T57" s="181">
        <v>2000</v>
      </c>
      <c r="U57" s="182"/>
      <c r="V57" s="182"/>
    </row>
    <row r="58" spans="1:22" ht="12.75">
      <c r="A58" s="126" t="s">
        <v>505</v>
      </c>
      <c r="B58" s="185" t="s">
        <v>518</v>
      </c>
      <c r="C58" s="181">
        <v>6.6</v>
      </c>
      <c r="D58" s="181">
        <v>0.13</v>
      </c>
      <c r="E58" s="182"/>
      <c r="F58" s="182"/>
      <c r="G58" s="181">
        <v>0.3</v>
      </c>
      <c r="H58" s="181">
        <v>0.28999999999999998</v>
      </c>
      <c r="I58" s="182"/>
      <c r="J58" s="182"/>
      <c r="K58" s="181">
        <v>1</v>
      </c>
      <c r="L58" s="181">
        <v>0.08</v>
      </c>
      <c r="M58" s="182"/>
      <c r="N58" s="182"/>
      <c r="O58" s="181">
        <v>0.5</v>
      </c>
      <c r="P58" s="181">
        <v>0.25</v>
      </c>
      <c r="Q58" s="182"/>
      <c r="R58" s="182"/>
      <c r="S58" s="181">
        <v>0</v>
      </c>
      <c r="T58" s="181">
        <v>0.32</v>
      </c>
      <c r="U58" s="182"/>
      <c r="V58" s="182"/>
    </row>
    <row r="59" spans="1:22" ht="12.75">
      <c r="A59" s="126" t="s">
        <v>507</v>
      </c>
      <c r="B59" s="185" t="s">
        <v>519</v>
      </c>
      <c r="C59" s="181">
        <v>6.7</v>
      </c>
      <c r="D59" s="181">
        <v>0.42</v>
      </c>
      <c r="E59" s="182"/>
      <c r="F59" s="182"/>
      <c r="G59" s="181">
        <v>0.35</v>
      </c>
      <c r="H59" s="181">
        <v>0.4</v>
      </c>
      <c r="I59" s="182"/>
      <c r="J59" s="182"/>
      <c r="K59" s="181">
        <v>1</v>
      </c>
      <c r="L59" s="181">
        <v>0.57999999999999996</v>
      </c>
      <c r="M59" s="182"/>
      <c r="N59" s="182"/>
      <c r="O59" s="181">
        <v>1.1599999999999999</v>
      </c>
      <c r="P59" s="181">
        <v>0.57999999999999996</v>
      </c>
      <c r="Q59" s="182"/>
      <c r="R59" s="182"/>
      <c r="S59" s="181">
        <v>0</v>
      </c>
      <c r="T59" s="181">
        <v>0.4</v>
      </c>
      <c r="U59" s="182"/>
      <c r="V59" s="182"/>
    </row>
    <row r="60" spans="1:22" s="266" customFormat="1" ht="51">
      <c r="A60" s="126" t="s">
        <v>97</v>
      </c>
      <c r="B60" s="185" t="s">
        <v>520</v>
      </c>
      <c r="C60" s="181">
        <v>4000</v>
      </c>
      <c r="D60" s="181">
        <v>44</v>
      </c>
      <c r="E60" s="182"/>
      <c r="F60" s="182"/>
      <c r="G60" s="181">
        <v>78</v>
      </c>
      <c r="H60" s="181">
        <v>39</v>
      </c>
      <c r="I60" s="182"/>
      <c r="J60" s="182"/>
      <c r="K60" s="181">
        <v>100</v>
      </c>
      <c r="L60" s="181">
        <v>75.92</v>
      </c>
      <c r="M60" s="182"/>
      <c r="N60" s="182"/>
      <c r="O60" s="181">
        <v>520</v>
      </c>
      <c r="P60" s="181">
        <v>125</v>
      </c>
      <c r="Q60" s="182"/>
      <c r="R60" s="182"/>
      <c r="S60" s="181">
        <v>100</v>
      </c>
      <c r="T60" s="181">
        <v>70</v>
      </c>
      <c r="U60" s="182"/>
      <c r="V60" s="182"/>
    </row>
    <row r="61" spans="1:22" s="266" customFormat="1" ht="51">
      <c r="A61" s="126" t="s">
        <v>98</v>
      </c>
      <c r="B61" s="185" t="s">
        <v>521</v>
      </c>
      <c r="C61" s="181">
        <v>7800</v>
      </c>
      <c r="D61" s="181">
        <v>80</v>
      </c>
      <c r="E61" s="182"/>
      <c r="F61" s="182"/>
      <c r="G61" s="181">
        <v>106</v>
      </c>
      <c r="H61" s="181">
        <v>53</v>
      </c>
      <c r="I61" s="182"/>
      <c r="J61" s="182"/>
      <c r="K61" s="181">
        <v>500</v>
      </c>
      <c r="L61" s="181">
        <v>237.86</v>
      </c>
      <c r="M61" s="182"/>
      <c r="N61" s="182"/>
      <c r="O61" s="181">
        <v>1040</v>
      </c>
      <c r="P61" s="181">
        <v>240</v>
      </c>
      <c r="Q61" s="182"/>
      <c r="R61" s="182"/>
      <c r="S61" s="181">
        <v>200</v>
      </c>
      <c r="T61" s="181">
        <v>85</v>
      </c>
      <c r="U61" s="182"/>
      <c r="V61" s="182"/>
    </row>
    <row r="62" spans="1:22" s="266" customFormat="1" ht="51">
      <c r="A62" s="126" t="s">
        <v>99</v>
      </c>
      <c r="B62" s="185" t="s">
        <v>522</v>
      </c>
      <c r="C62" s="181">
        <v>13150</v>
      </c>
      <c r="D62" s="181">
        <v>150</v>
      </c>
      <c r="E62" s="182"/>
      <c r="F62" s="182"/>
      <c r="G62" s="181">
        <v>150</v>
      </c>
      <c r="H62" s="181">
        <v>75</v>
      </c>
      <c r="I62" s="182"/>
      <c r="J62" s="182"/>
      <c r="K62" s="181">
        <v>1000</v>
      </c>
      <c r="L62" s="181">
        <v>423.85</v>
      </c>
      <c r="M62" s="182"/>
      <c r="N62" s="182"/>
      <c r="O62" s="181">
        <v>1800</v>
      </c>
      <c r="P62" s="181">
        <v>450</v>
      </c>
      <c r="Q62" s="182"/>
      <c r="R62" s="182"/>
      <c r="S62" s="181">
        <v>1000</v>
      </c>
      <c r="T62" s="181">
        <v>1100</v>
      </c>
      <c r="U62" s="182"/>
      <c r="V62" s="182"/>
    </row>
    <row r="63" spans="1:22" s="266" customFormat="1" ht="51">
      <c r="A63" s="126" t="s">
        <v>100</v>
      </c>
      <c r="B63" s="185" t="s">
        <v>523</v>
      </c>
      <c r="C63" s="181">
        <v>16541.73</v>
      </c>
      <c r="D63" s="181">
        <v>195</v>
      </c>
      <c r="E63" s="182"/>
      <c r="F63" s="182"/>
      <c r="G63" s="181">
        <v>1750</v>
      </c>
      <c r="H63" s="181">
        <v>875</v>
      </c>
      <c r="I63" s="182"/>
      <c r="J63" s="182"/>
      <c r="K63" s="181">
        <v>1500</v>
      </c>
      <c r="L63" s="181">
        <v>524.80999999999995</v>
      </c>
      <c r="M63" s="182"/>
      <c r="N63" s="182"/>
      <c r="O63" s="181">
        <v>2240</v>
      </c>
      <c r="P63" s="181">
        <v>560</v>
      </c>
      <c r="Q63" s="182"/>
      <c r="R63" s="182"/>
      <c r="S63" s="181">
        <v>100</v>
      </c>
      <c r="T63" s="181">
        <v>230</v>
      </c>
      <c r="U63" s="182"/>
      <c r="V63" s="182"/>
    </row>
    <row r="64" spans="1:22" s="266" customFormat="1" ht="51">
      <c r="A64" s="126" t="s">
        <v>101</v>
      </c>
      <c r="B64" s="185" t="s">
        <v>524</v>
      </c>
      <c r="C64" s="181">
        <v>46798.89</v>
      </c>
      <c r="D64" s="181">
        <v>557.13</v>
      </c>
      <c r="E64" s="182"/>
      <c r="F64" s="182"/>
      <c r="G64" s="181">
        <v>4160</v>
      </c>
      <c r="H64" s="181">
        <v>2080</v>
      </c>
      <c r="I64" s="182"/>
      <c r="J64" s="182"/>
      <c r="K64" s="181">
        <v>2000</v>
      </c>
      <c r="L64" s="181">
        <v>1571.74</v>
      </c>
      <c r="M64" s="182"/>
      <c r="N64" s="182"/>
      <c r="O64" s="181">
        <v>6400</v>
      </c>
      <c r="P64" s="181">
        <v>1500</v>
      </c>
      <c r="Q64" s="182"/>
      <c r="R64" s="182"/>
      <c r="S64" s="181">
        <v>200</v>
      </c>
      <c r="T64" s="181">
        <v>650</v>
      </c>
      <c r="U64" s="182"/>
      <c r="V64" s="182"/>
    </row>
    <row r="65" spans="1:22" s="266" customFormat="1" ht="51">
      <c r="A65" s="126" t="s">
        <v>102</v>
      </c>
      <c r="B65" s="185" t="s">
        <v>525</v>
      </c>
      <c r="C65" s="181">
        <v>95337.17</v>
      </c>
      <c r="D65" s="181">
        <v>1134.97</v>
      </c>
      <c r="E65" s="182"/>
      <c r="F65" s="182"/>
      <c r="G65" s="181">
        <v>5200</v>
      </c>
      <c r="H65" s="181">
        <v>2600</v>
      </c>
      <c r="I65" s="182"/>
      <c r="J65" s="182"/>
      <c r="K65" s="181">
        <v>15000</v>
      </c>
      <c r="L65" s="181">
        <v>3148.69</v>
      </c>
      <c r="M65" s="182"/>
      <c r="N65" s="182"/>
      <c r="O65" s="181">
        <v>12800</v>
      </c>
      <c r="P65" s="181">
        <v>3000</v>
      </c>
      <c r="Q65" s="182"/>
      <c r="R65" s="182"/>
      <c r="S65" s="181">
        <v>1000</v>
      </c>
      <c r="T65" s="181">
        <v>1900</v>
      </c>
      <c r="U65" s="182"/>
      <c r="V65" s="182"/>
    </row>
    <row r="66" spans="1:22" s="266" customFormat="1" ht="25.5">
      <c r="A66" s="126" t="s">
        <v>285</v>
      </c>
      <c r="B66" s="185" t="s">
        <v>526</v>
      </c>
      <c r="C66" s="181">
        <v>300</v>
      </c>
      <c r="D66" s="181">
        <v>150</v>
      </c>
      <c r="E66" s="182"/>
      <c r="F66" s="182"/>
      <c r="G66" s="181">
        <v>6.96</v>
      </c>
      <c r="H66" s="181">
        <v>3.48</v>
      </c>
      <c r="I66" s="182"/>
      <c r="J66" s="182"/>
      <c r="K66" s="181">
        <v>119.82</v>
      </c>
      <c r="L66" s="181">
        <v>59.91</v>
      </c>
      <c r="M66" s="182"/>
      <c r="N66" s="182"/>
      <c r="O66" s="181">
        <v>10.96</v>
      </c>
      <c r="P66" s="181">
        <v>5.48</v>
      </c>
      <c r="Q66" s="182"/>
      <c r="R66" s="182"/>
      <c r="S66" s="181">
        <v>9.76</v>
      </c>
      <c r="T66" s="181">
        <v>4.88</v>
      </c>
      <c r="U66" s="182"/>
      <c r="V66" s="182"/>
    </row>
    <row r="67" spans="1:22" s="266" customFormat="1" ht="25.5">
      <c r="A67" s="126" t="s">
        <v>286</v>
      </c>
      <c r="B67" s="185" t="s">
        <v>527</v>
      </c>
      <c r="C67" s="181">
        <v>300</v>
      </c>
      <c r="D67" s="181">
        <v>150</v>
      </c>
      <c r="E67" s="182"/>
      <c r="F67" s="182"/>
      <c r="G67" s="181">
        <v>6.96</v>
      </c>
      <c r="H67" s="181">
        <v>3.48</v>
      </c>
      <c r="I67" s="182"/>
      <c r="J67" s="182"/>
      <c r="K67" s="181">
        <v>119.82</v>
      </c>
      <c r="L67" s="181">
        <v>59.91</v>
      </c>
      <c r="M67" s="182"/>
      <c r="N67" s="182"/>
      <c r="O67" s="181">
        <v>10.96</v>
      </c>
      <c r="P67" s="181">
        <v>5.48</v>
      </c>
      <c r="Q67" s="182"/>
      <c r="R67" s="182"/>
      <c r="S67" s="181">
        <v>9.76</v>
      </c>
      <c r="T67" s="181">
        <v>4.88</v>
      </c>
      <c r="U67" s="182"/>
      <c r="V67" s="182"/>
    </row>
    <row r="68" spans="1:22" s="266" customFormat="1" ht="25.5">
      <c r="A68" s="126" t="s">
        <v>287</v>
      </c>
      <c r="B68" s="185" t="s">
        <v>528</v>
      </c>
      <c r="C68" s="181">
        <v>300</v>
      </c>
      <c r="D68" s="181">
        <v>150</v>
      </c>
      <c r="E68" s="182"/>
      <c r="F68" s="182"/>
      <c r="G68" s="181">
        <v>7.06</v>
      </c>
      <c r="H68" s="181">
        <v>3.53</v>
      </c>
      <c r="I68" s="182"/>
      <c r="J68" s="182"/>
      <c r="K68" s="181">
        <v>119.82</v>
      </c>
      <c r="L68" s="181">
        <v>59.91</v>
      </c>
      <c r="M68" s="182"/>
      <c r="N68" s="182"/>
      <c r="O68" s="181">
        <v>12.96</v>
      </c>
      <c r="P68" s="181">
        <v>6.48</v>
      </c>
      <c r="Q68" s="182"/>
      <c r="R68" s="182"/>
      <c r="S68" s="181">
        <v>9.76</v>
      </c>
      <c r="T68" s="181">
        <v>4.88</v>
      </c>
      <c r="U68" s="182"/>
      <c r="V68" s="182"/>
    </row>
    <row r="69" spans="1:22" s="266" customFormat="1" ht="25.5">
      <c r="A69" s="126" t="s">
        <v>288</v>
      </c>
      <c r="B69" s="185" t="s">
        <v>529</v>
      </c>
      <c r="C69" s="181">
        <v>300</v>
      </c>
      <c r="D69" s="181">
        <v>150</v>
      </c>
      <c r="E69" s="182"/>
      <c r="F69" s="182"/>
      <c r="G69" s="181">
        <v>7.06</v>
      </c>
      <c r="H69" s="181">
        <v>3.53</v>
      </c>
      <c r="I69" s="182"/>
      <c r="J69" s="182"/>
      <c r="K69" s="181">
        <v>119.82</v>
      </c>
      <c r="L69" s="181">
        <v>59.91</v>
      </c>
      <c r="M69" s="182"/>
      <c r="N69" s="182"/>
      <c r="O69" s="181">
        <v>12.96</v>
      </c>
      <c r="P69" s="181">
        <v>6.48</v>
      </c>
      <c r="Q69" s="182"/>
      <c r="R69" s="182"/>
      <c r="S69" s="181">
        <v>9.76</v>
      </c>
      <c r="T69" s="181">
        <v>4.88</v>
      </c>
      <c r="U69" s="182"/>
      <c r="V69" s="182"/>
    </row>
    <row r="70" spans="1:22" s="266" customFormat="1" ht="25.5">
      <c r="A70" s="126" t="s">
        <v>289</v>
      </c>
      <c r="B70" s="185" t="s">
        <v>530</v>
      </c>
      <c r="C70" s="181">
        <v>300</v>
      </c>
      <c r="D70" s="181">
        <v>150</v>
      </c>
      <c r="E70" s="182"/>
      <c r="F70" s="182"/>
      <c r="G70" s="181">
        <v>7.24</v>
      </c>
      <c r="H70" s="181">
        <v>3.62</v>
      </c>
      <c r="I70" s="182"/>
      <c r="J70" s="182"/>
      <c r="K70" s="181">
        <v>119.82</v>
      </c>
      <c r="L70" s="181">
        <v>59.91</v>
      </c>
      <c r="M70" s="182"/>
      <c r="N70" s="182"/>
      <c r="O70" s="181">
        <v>13.16</v>
      </c>
      <c r="P70" s="181">
        <v>6.58</v>
      </c>
      <c r="Q70" s="182"/>
      <c r="R70" s="182"/>
      <c r="S70" s="181">
        <v>9.76</v>
      </c>
      <c r="T70" s="181">
        <v>4.88</v>
      </c>
      <c r="U70" s="182"/>
      <c r="V70" s="182"/>
    </row>
    <row r="71" spans="1:22" s="266" customFormat="1" ht="25.5">
      <c r="A71" s="126" t="s">
        <v>290</v>
      </c>
      <c r="B71" s="185" t="s">
        <v>531</v>
      </c>
      <c r="C71" s="181">
        <v>300</v>
      </c>
      <c r="D71" s="181">
        <v>150</v>
      </c>
      <c r="E71" s="182"/>
      <c r="F71" s="182"/>
      <c r="G71" s="181">
        <v>7.24</v>
      </c>
      <c r="H71" s="181">
        <v>3.62</v>
      </c>
      <c r="I71" s="182"/>
      <c r="J71" s="182"/>
      <c r="K71" s="181">
        <v>119.82</v>
      </c>
      <c r="L71" s="181">
        <v>59.91</v>
      </c>
      <c r="M71" s="182"/>
      <c r="N71" s="182"/>
      <c r="O71" s="181">
        <v>13.36</v>
      </c>
      <c r="P71" s="181">
        <v>6.68</v>
      </c>
      <c r="Q71" s="182"/>
      <c r="R71" s="182"/>
      <c r="S71" s="181">
        <v>9.76</v>
      </c>
      <c r="T71" s="181">
        <v>4.88</v>
      </c>
      <c r="U71" s="182"/>
      <c r="V71" s="182"/>
    </row>
    <row r="72" spans="1:22" s="266" customFormat="1" ht="25.5">
      <c r="A72" s="126" t="s">
        <v>291</v>
      </c>
      <c r="B72" s="185" t="s">
        <v>532</v>
      </c>
      <c r="C72" s="181">
        <v>300</v>
      </c>
      <c r="D72" s="181">
        <v>150</v>
      </c>
      <c r="E72" s="182"/>
      <c r="F72" s="182"/>
      <c r="G72" s="181">
        <v>7.7</v>
      </c>
      <c r="H72" s="181">
        <v>3.85</v>
      </c>
      <c r="I72" s="182"/>
      <c r="J72" s="182"/>
      <c r="K72" s="181">
        <v>124.24</v>
      </c>
      <c r="L72" s="181">
        <v>62.12</v>
      </c>
      <c r="M72" s="182"/>
      <c r="N72" s="182"/>
      <c r="O72" s="181">
        <v>13.56</v>
      </c>
      <c r="P72" s="181">
        <v>6.7799999999999994</v>
      </c>
      <c r="Q72" s="182"/>
      <c r="R72" s="182"/>
      <c r="S72" s="181">
        <v>9.76</v>
      </c>
      <c r="T72" s="181">
        <v>4.88</v>
      </c>
      <c r="U72" s="182"/>
      <c r="V72" s="182"/>
    </row>
    <row r="73" spans="1:22" s="266" customFormat="1" ht="25.5">
      <c r="A73" s="126" t="s">
        <v>292</v>
      </c>
      <c r="B73" s="185" t="s">
        <v>533</v>
      </c>
      <c r="C73" s="181">
        <v>300</v>
      </c>
      <c r="D73" s="181">
        <v>150</v>
      </c>
      <c r="E73" s="182"/>
      <c r="F73" s="182"/>
      <c r="G73" s="181">
        <v>7.7</v>
      </c>
      <c r="H73" s="181">
        <v>3.85</v>
      </c>
      <c r="I73" s="182"/>
      <c r="J73" s="182"/>
      <c r="K73" s="181">
        <v>124.24</v>
      </c>
      <c r="L73" s="181">
        <v>62.12</v>
      </c>
      <c r="M73" s="182"/>
      <c r="N73" s="182"/>
      <c r="O73" s="181">
        <v>13.56</v>
      </c>
      <c r="P73" s="181">
        <v>6.7799999999999994</v>
      </c>
      <c r="Q73" s="182"/>
      <c r="R73" s="182"/>
      <c r="S73" s="181">
        <v>9.76</v>
      </c>
      <c r="T73" s="181">
        <v>4.88</v>
      </c>
      <c r="U73" s="182"/>
      <c r="V73" s="182"/>
    </row>
    <row r="74" spans="1:22" s="266" customFormat="1" ht="25.5">
      <c r="A74" s="126" t="s">
        <v>293</v>
      </c>
      <c r="B74" s="185" t="s">
        <v>534</v>
      </c>
      <c r="C74" s="181">
        <v>300</v>
      </c>
      <c r="D74" s="181">
        <v>150</v>
      </c>
      <c r="E74" s="182"/>
      <c r="F74" s="182"/>
      <c r="G74" s="181">
        <v>13.16</v>
      </c>
      <c r="H74" s="181">
        <v>6.58</v>
      </c>
      <c r="I74" s="182"/>
      <c r="J74" s="182"/>
      <c r="K74" s="181">
        <v>200</v>
      </c>
      <c r="L74" s="181">
        <v>144.15</v>
      </c>
      <c r="M74" s="182"/>
      <c r="N74" s="182"/>
      <c r="O74" s="181">
        <v>17.559999999999999</v>
      </c>
      <c r="P74" s="181">
        <v>8.7799999999999994</v>
      </c>
      <c r="Q74" s="182"/>
      <c r="R74" s="182"/>
      <c r="S74" s="181">
        <v>9.76</v>
      </c>
      <c r="T74" s="181">
        <v>4.88</v>
      </c>
      <c r="U74" s="182"/>
      <c r="V74" s="182"/>
    </row>
    <row r="75" spans="1:22" s="266" customFormat="1" ht="25.5">
      <c r="A75" s="126" t="s">
        <v>294</v>
      </c>
      <c r="B75" s="185" t="s">
        <v>535</v>
      </c>
      <c r="C75" s="181">
        <v>300</v>
      </c>
      <c r="D75" s="181">
        <v>150</v>
      </c>
      <c r="E75" s="182"/>
      <c r="F75" s="182"/>
      <c r="G75" s="181">
        <v>13.82</v>
      </c>
      <c r="H75" s="181">
        <v>30</v>
      </c>
      <c r="I75" s="182"/>
      <c r="J75" s="182"/>
      <c r="K75" s="181">
        <v>200</v>
      </c>
      <c r="L75" s="181">
        <v>144.15</v>
      </c>
      <c r="M75" s="182"/>
      <c r="N75" s="182"/>
      <c r="O75" s="181">
        <v>18.559999999999999</v>
      </c>
      <c r="P75" s="181">
        <v>9.2799999999999994</v>
      </c>
      <c r="Q75" s="182"/>
      <c r="R75" s="182"/>
      <c r="S75" s="181">
        <v>9.76</v>
      </c>
      <c r="T75" s="181">
        <v>4.88</v>
      </c>
      <c r="U75" s="182"/>
      <c r="V75" s="182"/>
    </row>
    <row r="76" spans="1:22" s="266" customFormat="1" ht="25.5">
      <c r="A76" s="126" t="s">
        <v>295</v>
      </c>
      <c r="B76" s="185" t="s">
        <v>536</v>
      </c>
      <c r="C76" s="181">
        <v>300</v>
      </c>
      <c r="D76" s="181">
        <v>150</v>
      </c>
      <c r="E76" s="182"/>
      <c r="F76" s="182"/>
      <c r="G76" s="181">
        <v>10</v>
      </c>
      <c r="H76" s="181">
        <v>30</v>
      </c>
      <c r="I76" s="182"/>
      <c r="J76" s="182"/>
      <c r="K76" s="181">
        <v>200</v>
      </c>
      <c r="L76" s="181">
        <v>144.15</v>
      </c>
      <c r="M76" s="182"/>
      <c r="N76" s="182"/>
      <c r="O76" s="181">
        <v>18.559999999999999</v>
      </c>
      <c r="P76" s="181">
        <v>9.2799999999999994</v>
      </c>
      <c r="Q76" s="182"/>
      <c r="R76" s="182"/>
      <c r="S76" s="181">
        <v>9.76</v>
      </c>
      <c r="T76" s="181">
        <v>4.88</v>
      </c>
      <c r="U76" s="182"/>
      <c r="V76" s="182"/>
    </row>
    <row r="77" spans="1:22" s="266" customFormat="1" ht="25.5">
      <c r="A77" s="126" t="s">
        <v>296</v>
      </c>
      <c r="B77" s="185" t="s">
        <v>537</v>
      </c>
      <c r="C77" s="181">
        <v>300</v>
      </c>
      <c r="D77" s="181">
        <v>150</v>
      </c>
      <c r="E77" s="182"/>
      <c r="F77" s="182"/>
      <c r="G77" s="181">
        <v>10</v>
      </c>
      <c r="H77" s="181">
        <v>30</v>
      </c>
      <c r="I77" s="182"/>
      <c r="J77" s="182"/>
      <c r="K77" s="181">
        <v>200</v>
      </c>
      <c r="L77" s="181">
        <v>144.15</v>
      </c>
      <c r="M77" s="182"/>
      <c r="N77" s="182"/>
      <c r="O77" s="181">
        <v>18.559999999999999</v>
      </c>
      <c r="P77" s="181">
        <v>9.2799999999999994</v>
      </c>
      <c r="Q77" s="182"/>
      <c r="R77" s="182"/>
      <c r="S77" s="181">
        <v>9.76</v>
      </c>
      <c r="T77" s="181">
        <v>4.88</v>
      </c>
      <c r="U77" s="182"/>
      <c r="V77" s="182"/>
    </row>
    <row r="78" spans="1:22" s="266" customFormat="1" ht="25.5">
      <c r="A78" s="126" t="s">
        <v>297</v>
      </c>
      <c r="B78" s="185" t="s">
        <v>538</v>
      </c>
      <c r="C78" s="181">
        <v>300</v>
      </c>
      <c r="D78" s="181">
        <v>150</v>
      </c>
      <c r="E78" s="182"/>
      <c r="F78" s="182"/>
      <c r="G78" s="181">
        <v>10</v>
      </c>
      <c r="H78" s="181">
        <v>30</v>
      </c>
      <c r="I78" s="182"/>
      <c r="J78" s="182"/>
      <c r="K78" s="181">
        <v>200</v>
      </c>
      <c r="L78" s="181">
        <v>144.15</v>
      </c>
      <c r="M78" s="182"/>
      <c r="N78" s="182"/>
      <c r="O78" s="181">
        <v>18.559999999999999</v>
      </c>
      <c r="P78" s="181">
        <v>9.2799999999999994</v>
      </c>
      <c r="Q78" s="182"/>
      <c r="R78" s="182"/>
      <c r="S78" s="181">
        <v>9.76</v>
      </c>
      <c r="T78" s="181">
        <v>4.88</v>
      </c>
      <c r="U78" s="182"/>
      <c r="V78" s="182"/>
    </row>
    <row r="79" spans="1:22" s="266" customFormat="1" ht="25.5">
      <c r="A79" s="126" t="s">
        <v>298</v>
      </c>
      <c r="B79" s="185" t="s">
        <v>539</v>
      </c>
      <c r="C79" s="181">
        <v>300</v>
      </c>
      <c r="D79" s="181">
        <v>150</v>
      </c>
      <c r="E79" s="182"/>
      <c r="F79" s="182"/>
      <c r="G79" s="181">
        <v>16.16</v>
      </c>
      <c r="H79" s="181">
        <v>8.08</v>
      </c>
      <c r="I79" s="182"/>
      <c r="J79" s="182"/>
      <c r="K79" s="181">
        <v>119.82</v>
      </c>
      <c r="L79" s="181">
        <v>59.91</v>
      </c>
      <c r="M79" s="182"/>
      <c r="N79" s="182"/>
      <c r="O79" s="181">
        <v>20.56</v>
      </c>
      <c r="P79" s="181">
        <v>10.28</v>
      </c>
      <c r="Q79" s="182"/>
      <c r="R79" s="182"/>
      <c r="S79" s="181">
        <v>9.76</v>
      </c>
      <c r="T79" s="181">
        <v>4.88</v>
      </c>
      <c r="U79" s="182"/>
      <c r="V79" s="182"/>
    </row>
    <row r="80" spans="1:22" s="266" customFormat="1" ht="25.5">
      <c r="A80" s="126" t="s">
        <v>299</v>
      </c>
      <c r="B80" s="185" t="s">
        <v>540</v>
      </c>
      <c r="C80" s="181">
        <v>300</v>
      </c>
      <c r="D80" s="181">
        <v>150</v>
      </c>
      <c r="E80" s="182"/>
      <c r="F80" s="182"/>
      <c r="G80" s="181">
        <v>16.260000000000002</v>
      </c>
      <c r="H80" s="181">
        <v>8.1300000000000008</v>
      </c>
      <c r="I80" s="182"/>
      <c r="J80" s="182"/>
      <c r="K80" s="181">
        <v>119.82</v>
      </c>
      <c r="L80" s="181">
        <v>59.91</v>
      </c>
      <c r="M80" s="182"/>
      <c r="N80" s="182"/>
      <c r="O80" s="181">
        <v>20.56</v>
      </c>
      <c r="P80" s="181">
        <v>10.28</v>
      </c>
      <c r="Q80" s="182"/>
      <c r="R80" s="182"/>
      <c r="S80" s="181">
        <v>9.76</v>
      </c>
      <c r="T80" s="181">
        <v>4.88</v>
      </c>
      <c r="U80" s="182"/>
      <c r="V80" s="182"/>
    </row>
    <row r="81" spans="1:22" s="266" customFormat="1" ht="25.5">
      <c r="A81" s="126" t="s">
        <v>300</v>
      </c>
      <c r="B81" s="185" t="s">
        <v>541</v>
      </c>
      <c r="C81" s="181">
        <v>300</v>
      </c>
      <c r="D81" s="181">
        <v>150</v>
      </c>
      <c r="E81" s="182"/>
      <c r="F81" s="182"/>
      <c r="G81" s="181">
        <v>16.36</v>
      </c>
      <c r="H81" s="181">
        <v>8.18</v>
      </c>
      <c r="I81" s="182"/>
      <c r="J81" s="182"/>
      <c r="K81" s="181">
        <v>119.82</v>
      </c>
      <c r="L81" s="181">
        <v>59.91</v>
      </c>
      <c r="M81" s="182"/>
      <c r="N81" s="182"/>
      <c r="O81" s="181">
        <v>20.56</v>
      </c>
      <c r="P81" s="181">
        <v>10.28</v>
      </c>
      <c r="Q81" s="182"/>
      <c r="R81" s="182"/>
      <c r="S81" s="181">
        <v>9.76</v>
      </c>
      <c r="T81" s="181">
        <v>4.88</v>
      </c>
      <c r="U81" s="182"/>
      <c r="V81" s="182"/>
    </row>
    <row r="82" spans="1:22" s="266" customFormat="1" ht="25.5">
      <c r="A82" s="126" t="s">
        <v>301</v>
      </c>
      <c r="B82" s="185" t="s">
        <v>542</v>
      </c>
      <c r="C82" s="181">
        <v>300</v>
      </c>
      <c r="D82" s="181">
        <v>150</v>
      </c>
      <c r="E82" s="182"/>
      <c r="F82" s="182"/>
      <c r="G82" s="181">
        <v>16.739999999999998</v>
      </c>
      <c r="H82" s="181">
        <v>8.3699999999999992</v>
      </c>
      <c r="I82" s="182"/>
      <c r="J82" s="182"/>
      <c r="K82" s="181">
        <v>119.82</v>
      </c>
      <c r="L82" s="181">
        <v>59.91</v>
      </c>
      <c r="M82" s="182"/>
      <c r="N82" s="182"/>
      <c r="O82" s="181">
        <v>20.56</v>
      </c>
      <c r="P82" s="181">
        <v>10.28</v>
      </c>
      <c r="Q82" s="182"/>
      <c r="R82" s="182"/>
      <c r="S82" s="181">
        <v>9.76</v>
      </c>
      <c r="T82" s="181">
        <v>4.88</v>
      </c>
      <c r="U82" s="182"/>
      <c r="V82" s="182"/>
    </row>
    <row r="83" spans="1:22" s="266" customFormat="1" ht="25.5">
      <c r="A83" s="126" t="s">
        <v>302</v>
      </c>
      <c r="B83" s="185" t="s">
        <v>543</v>
      </c>
      <c r="C83" s="181">
        <v>300</v>
      </c>
      <c r="D83" s="181">
        <v>150</v>
      </c>
      <c r="E83" s="182"/>
      <c r="F83" s="182"/>
      <c r="G83" s="181">
        <v>29.9</v>
      </c>
      <c r="H83" s="181">
        <v>14.95</v>
      </c>
      <c r="I83" s="182"/>
      <c r="J83" s="182"/>
      <c r="K83" s="181">
        <v>119.82</v>
      </c>
      <c r="L83" s="181">
        <v>59.91</v>
      </c>
      <c r="M83" s="182"/>
      <c r="N83" s="182"/>
      <c r="O83" s="181">
        <v>32.56</v>
      </c>
      <c r="P83" s="181">
        <v>16.28</v>
      </c>
      <c r="Q83" s="182"/>
      <c r="R83" s="182"/>
      <c r="S83" s="181">
        <v>9.76</v>
      </c>
      <c r="T83" s="181">
        <v>4.88</v>
      </c>
      <c r="U83" s="182"/>
      <c r="V83" s="182"/>
    </row>
    <row r="84" spans="1:22" s="266" customFormat="1" ht="25.5">
      <c r="A84" s="126" t="s">
        <v>303</v>
      </c>
      <c r="B84" s="185" t="s">
        <v>544</v>
      </c>
      <c r="C84" s="181">
        <v>300</v>
      </c>
      <c r="D84" s="181">
        <v>150</v>
      </c>
      <c r="E84" s="182"/>
      <c r="F84" s="182"/>
      <c r="G84" s="181">
        <v>57.82</v>
      </c>
      <c r="H84" s="181">
        <v>30</v>
      </c>
      <c r="I84" s="182"/>
      <c r="J84" s="182"/>
      <c r="K84" s="181">
        <v>119.82</v>
      </c>
      <c r="L84" s="181">
        <v>59.91</v>
      </c>
      <c r="M84" s="182"/>
      <c r="N84" s="182"/>
      <c r="O84" s="181">
        <v>57.82</v>
      </c>
      <c r="P84" s="181">
        <v>28.91</v>
      </c>
      <c r="Q84" s="182"/>
      <c r="R84" s="182"/>
      <c r="S84" s="181">
        <v>9.76</v>
      </c>
      <c r="T84" s="181">
        <v>4.88</v>
      </c>
      <c r="U84" s="182"/>
      <c r="V84" s="182"/>
    </row>
    <row r="85" spans="1:22" s="266" customFormat="1" ht="25.5">
      <c r="A85" s="126" t="s">
        <v>304</v>
      </c>
      <c r="B85" s="185" t="s">
        <v>545</v>
      </c>
      <c r="C85" s="181">
        <v>300</v>
      </c>
      <c r="D85" s="181">
        <v>150</v>
      </c>
      <c r="E85" s="182"/>
      <c r="F85" s="182"/>
      <c r="G85" s="181">
        <v>6</v>
      </c>
      <c r="H85" s="181">
        <v>3</v>
      </c>
      <c r="I85" s="182"/>
      <c r="J85" s="182"/>
      <c r="K85" s="181">
        <v>100</v>
      </c>
      <c r="L85" s="181">
        <v>58.24</v>
      </c>
      <c r="M85" s="182"/>
      <c r="N85" s="182"/>
      <c r="O85" s="181">
        <v>57.82</v>
      </c>
      <c r="P85" s="181">
        <v>28.91</v>
      </c>
      <c r="Q85" s="182"/>
      <c r="R85" s="182"/>
      <c r="S85" s="181">
        <v>9.76</v>
      </c>
      <c r="T85" s="181">
        <v>4.88</v>
      </c>
      <c r="U85" s="182"/>
      <c r="V85" s="182"/>
    </row>
    <row r="86" spans="1:22" s="266" customFormat="1" ht="25.5">
      <c r="A86" s="126" t="s">
        <v>305</v>
      </c>
      <c r="B86" s="185" t="s">
        <v>546</v>
      </c>
      <c r="C86" s="181">
        <v>300</v>
      </c>
      <c r="D86" s="181">
        <v>150</v>
      </c>
      <c r="E86" s="182"/>
      <c r="F86" s="182"/>
      <c r="G86" s="181">
        <v>6</v>
      </c>
      <c r="H86" s="181">
        <v>3</v>
      </c>
      <c r="I86" s="182"/>
      <c r="J86" s="182"/>
      <c r="K86" s="181">
        <v>100</v>
      </c>
      <c r="L86" s="181">
        <v>58.24</v>
      </c>
      <c r="M86" s="182"/>
      <c r="N86" s="182"/>
      <c r="O86" s="181">
        <v>57.82</v>
      </c>
      <c r="P86" s="181">
        <v>28.91</v>
      </c>
      <c r="Q86" s="182"/>
      <c r="R86" s="182"/>
      <c r="S86" s="181">
        <v>9.76</v>
      </c>
      <c r="T86" s="181">
        <v>4.88</v>
      </c>
      <c r="U86" s="182"/>
      <c r="V86" s="182"/>
    </row>
    <row r="87" spans="1:22" s="266" customFormat="1" ht="25.5">
      <c r="A87" s="126" t="s">
        <v>306</v>
      </c>
      <c r="B87" s="185" t="s">
        <v>547</v>
      </c>
      <c r="C87" s="181">
        <v>300</v>
      </c>
      <c r="D87" s="181">
        <v>150</v>
      </c>
      <c r="E87" s="182"/>
      <c r="F87" s="182"/>
      <c r="G87" s="181">
        <v>6</v>
      </c>
      <c r="H87" s="181">
        <v>3</v>
      </c>
      <c r="I87" s="182"/>
      <c r="J87" s="182"/>
      <c r="K87" s="181">
        <v>100</v>
      </c>
      <c r="L87" s="181">
        <v>58.24</v>
      </c>
      <c r="M87" s="182"/>
      <c r="N87" s="182"/>
      <c r="O87" s="181">
        <v>57.82</v>
      </c>
      <c r="P87" s="181">
        <v>28.91</v>
      </c>
      <c r="Q87" s="182"/>
      <c r="R87" s="182"/>
      <c r="S87" s="181">
        <v>9.76</v>
      </c>
      <c r="T87" s="181">
        <v>4.88</v>
      </c>
      <c r="U87" s="182"/>
      <c r="V87" s="182"/>
    </row>
    <row r="88" spans="1:22" s="266" customFormat="1" ht="25.5">
      <c r="A88" s="126" t="s">
        <v>307</v>
      </c>
      <c r="B88" s="185" t="s">
        <v>548</v>
      </c>
      <c r="C88" s="181">
        <v>300</v>
      </c>
      <c r="D88" s="181">
        <v>150</v>
      </c>
      <c r="E88" s="182"/>
      <c r="F88" s="182"/>
      <c r="G88" s="181">
        <v>6</v>
      </c>
      <c r="H88" s="181">
        <v>3</v>
      </c>
      <c r="I88" s="182"/>
      <c r="J88" s="182"/>
      <c r="K88" s="181">
        <v>143.82</v>
      </c>
      <c r="L88" s="181">
        <v>71.91</v>
      </c>
      <c r="M88" s="182"/>
      <c r="N88" s="182"/>
      <c r="O88" s="181">
        <v>57.82</v>
      </c>
      <c r="P88" s="181">
        <v>28.91</v>
      </c>
      <c r="Q88" s="182"/>
      <c r="R88" s="182"/>
      <c r="S88" s="181">
        <v>9.76</v>
      </c>
      <c r="T88" s="181">
        <v>4.88</v>
      </c>
      <c r="U88" s="182"/>
      <c r="V88" s="182"/>
    </row>
    <row r="89" spans="1:22" s="266" customFormat="1" ht="25.5">
      <c r="A89" s="126" t="s">
        <v>501</v>
      </c>
      <c r="B89" s="185" t="s">
        <v>549</v>
      </c>
      <c r="C89" s="181">
        <v>300</v>
      </c>
      <c r="D89" s="181">
        <v>150</v>
      </c>
      <c r="E89" s="182"/>
      <c r="F89" s="182"/>
      <c r="G89" s="181">
        <v>6</v>
      </c>
      <c r="H89" s="181">
        <v>3</v>
      </c>
      <c r="I89" s="182"/>
      <c r="J89" s="182"/>
      <c r="K89" s="181">
        <v>143.82</v>
      </c>
      <c r="L89" s="181">
        <v>71.91</v>
      </c>
      <c r="M89" s="182"/>
      <c r="N89" s="182"/>
      <c r="O89" s="181">
        <v>57.82</v>
      </c>
      <c r="P89" s="181">
        <v>28.91</v>
      </c>
      <c r="Q89" s="182"/>
      <c r="R89" s="182"/>
      <c r="S89" s="181">
        <v>9.76</v>
      </c>
      <c r="T89" s="181">
        <v>4.88</v>
      </c>
      <c r="U89" s="182"/>
      <c r="V89" s="182"/>
    </row>
    <row r="90" spans="1:22" s="266" customFormat="1" ht="25.5">
      <c r="A90" s="126" t="s">
        <v>502</v>
      </c>
      <c r="B90" s="185" t="s">
        <v>550</v>
      </c>
      <c r="C90" s="181">
        <v>300</v>
      </c>
      <c r="D90" s="181">
        <v>150</v>
      </c>
      <c r="E90" s="182"/>
      <c r="F90" s="182"/>
      <c r="G90" s="181">
        <v>6</v>
      </c>
      <c r="H90" s="181">
        <v>3</v>
      </c>
      <c r="I90" s="182"/>
      <c r="J90" s="182"/>
      <c r="K90" s="181">
        <v>308.76</v>
      </c>
      <c r="L90" s="181">
        <v>154.38</v>
      </c>
      <c r="M90" s="182"/>
      <c r="N90" s="182"/>
      <c r="O90" s="181">
        <v>57.82</v>
      </c>
      <c r="P90" s="181">
        <v>28.91</v>
      </c>
      <c r="Q90" s="182"/>
      <c r="R90" s="182"/>
      <c r="S90" s="181">
        <v>9.76</v>
      </c>
      <c r="T90" s="181">
        <v>4.88</v>
      </c>
      <c r="U90" s="182"/>
      <c r="V90" s="182"/>
    </row>
    <row r="91" spans="1:22" s="266" customFormat="1" ht="25.5">
      <c r="A91" s="267" t="s">
        <v>308</v>
      </c>
      <c r="B91" s="185" t="s">
        <v>309</v>
      </c>
      <c r="C91" s="183"/>
      <c r="D91" s="181">
        <v>29.4</v>
      </c>
      <c r="E91" s="182"/>
      <c r="F91" s="182"/>
      <c r="G91" s="183"/>
      <c r="H91" s="181">
        <v>115</v>
      </c>
      <c r="I91" s="182"/>
      <c r="J91" s="182"/>
      <c r="K91" s="183"/>
      <c r="L91" s="181">
        <v>5</v>
      </c>
      <c r="M91" s="182"/>
      <c r="N91" s="182"/>
      <c r="O91" s="183"/>
      <c r="P91" s="181">
        <v>5</v>
      </c>
      <c r="Q91" s="182"/>
      <c r="R91" s="182"/>
      <c r="S91" s="183"/>
      <c r="T91" s="181">
        <v>1</v>
      </c>
      <c r="U91" s="182"/>
      <c r="V91" s="182"/>
    </row>
    <row r="92" spans="1:22" s="266" customFormat="1" ht="25.5">
      <c r="A92" s="267" t="s">
        <v>310</v>
      </c>
      <c r="B92" s="185" t="s">
        <v>311</v>
      </c>
      <c r="C92" s="183"/>
      <c r="D92" s="181">
        <v>47.04</v>
      </c>
      <c r="E92" s="182"/>
      <c r="F92" s="182"/>
      <c r="G92" s="183"/>
      <c r="H92" s="181">
        <v>158</v>
      </c>
      <c r="I92" s="182"/>
      <c r="J92" s="182"/>
      <c r="K92" s="183"/>
      <c r="L92" s="181">
        <v>30</v>
      </c>
      <c r="M92" s="182"/>
      <c r="N92" s="182"/>
      <c r="O92" s="183"/>
      <c r="P92" s="181">
        <v>5</v>
      </c>
      <c r="Q92" s="182"/>
      <c r="R92" s="182"/>
      <c r="S92" s="183"/>
      <c r="T92" s="181">
        <v>1</v>
      </c>
      <c r="U92" s="182"/>
      <c r="V92" s="182"/>
    </row>
    <row r="93" spans="1:22" s="266" customFormat="1" ht="25.5">
      <c r="A93" s="267" t="s">
        <v>312</v>
      </c>
      <c r="B93" s="185" t="s">
        <v>313</v>
      </c>
      <c r="C93" s="183"/>
      <c r="D93" s="181">
        <v>58.8</v>
      </c>
      <c r="E93" s="182"/>
      <c r="F93" s="182"/>
      <c r="G93" s="183"/>
      <c r="H93" s="181">
        <v>223</v>
      </c>
      <c r="I93" s="182"/>
      <c r="J93" s="182"/>
      <c r="K93" s="183"/>
      <c r="L93" s="181">
        <v>50</v>
      </c>
      <c r="M93" s="182"/>
      <c r="N93" s="182"/>
      <c r="O93" s="183"/>
      <c r="P93" s="181">
        <v>5</v>
      </c>
      <c r="Q93" s="182"/>
      <c r="R93" s="182"/>
      <c r="S93" s="183"/>
      <c r="T93" s="181">
        <v>1</v>
      </c>
      <c r="U93" s="182"/>
      <c r="V93" s="182"/>
    </row>
    <row r="94" spans="1:22" s="266" customFormat="1" ht="25.5">
      <c r="A94" s="267" t="s">
        <v>314</v>
      </c>
      <c r="B94" s="185" t="s">
        <v>315</v>
      </c>
      <c r="C94" s="183"/>
      <c r="D94" s="181">
        <v>88.199999999999989</v>
      </c>
      <c r="E94" s="182"/>
      <c r="F94" s="182"/>
      <c r="G94" s="183"/>
      <c r="H94" s="181">
        <v>1</v>
      </c>
      <c r="I94" s="182"/>
      <c r="J94" s="182"/>
      <c r="K94" s="183"/>
      <c r="L94" s="181">
        <v>95</v>
      </c>
      <c r="M94" s="182"/>
      <c r="N94" s="182"/>
      <c r="O94" s="183"/>
      <c r="P94" s="181">
        <v>5</v>
      </c>
      <c r="Q94" s="182"/>
      <c r="R94" s="182"/>
      <c r="S94" s="183"/>
      <c r="T94" s="181">
        <v>1</v>
      </c>
      <c r="U94" s="182"/>
      <c r="V94" s="182"/>
    </row>
    <row r="95" spans="1:22" s="266" customFormat="1" ht="25.5">
      <c r="A95" s="267" t="s">
        <v>316</v>
      </c>
      <c r="B95" s="185" t="s">
        <v>317</v>
      </c>
      <c r="C95" s="183"/>
      <c r="D95" s="181">
        <v>117.6</v>
      </c>
      <c r="E95" s="182"/>
      <c r="F95" s="182"/>
      <c r="G95" s="183"/>
      <c r="H95" s="181">
        <v>1</v>
      </c>
      <c r="I95" s="182"/>
      <c r="J95" s="182"/>
      <c r="K95" s="183"/>
      <c r="L95" s="181">
        <v>100</v>
      </c>
      <c r="M95" s="182"/>
      <c r="N95" s="182"/>
      <c r="O95" s="183"/>
      <c r="P95" s="181">
        <v>5</v>
      </c>
      <c r="Q95" s="182"/>
      <c r="R95" s="182"/>
      <c r="S95" s="183"/>
      <c r="T95" s="181">
        <v>1</v>
      </c>
      <c r="U95" s="182"/>
      <c r="V95" s="182"/>
    </row>
    <row r="96" spans="1:22" s="266" customFormat="1" ht="25.5">
      <c r="A96" s="267" t="s">
        <v>318</v>
      </c>
      <c r="B96" s="185" t="s">
        <v>319</v>
      </c>
      <c r="C96" s="183"/>
      <c r="D96" s="181">
        <v>176.39999999999998</v>
      </c>
      <c r="E96" s="182"/>
      <c r="F96" s="182"/>
      <c r="G96" s="183"/>
      <c r="H96" s="181">
        <v>1</v>
      </c>
      <c r="I96" s="182"/>
      <c r="J96" s="182"/>
      <c r="K96" s="183"/>
      <c r="L96" s="181">
        <v>200</v>
      </c>
      <c r="M96" s="182"/>
      <c r="N96" s="182"/>
      <c r="O96" s="183"/>
      <c r="P96" s="181">
        <v>5</v>
      </c>
      <c r="Q96" s="182"/>
      <c r="R96" s="182"/>
      <c r="S96" s="183"/>
      <c r="T96" s="181">
        <v>1</v>
      </c>
      <c r="U96" s="182"/>
      <c r="V96" s="182"/>
    </row>
    <row r="97" spans="1:22" s="266" customFormat="1" ht="25.5">
      <c r="A97" s="267" t="s">
        <v>320</v>
      </c>
      <c r="B97" s="185" t="s">
        <v>321</v>
      </c>
      <c r="C97" s="183"/>
      <c r="D97" s="181">
        <v>29.4</v>
      </c>
      <c r="E97" s="182"/>
      <c r="F97" s="182"/>
      <c r="G97" s="183"/>
      <c r="H97" s="181">
        <v>115</v>
      </c>
      <c r="I97" s="182"/>
      <c r="J97" s="182"/>
      <c r="K97" s="183"/>
      <c r="L97" s="181">
        <v>5</v>
      </c>
      <c r="M97" s="182"/>
      <c r="N97" s="182"/>
      <c r="O97" s="183"/>
      <c r="P97" s="181">
        <v>5</v>
      </c>
      <c r="Q97" s="182"/>
      <c r="R97" s="182"/>
      <c r="S97" s="183"/>
      <c r="T97" s="181">
        <v>1</v>
      </c>
      <c r="U97" s="182"/>
      <c r="V97" s="182"/>
    </row>
    <row r="98" spans="1:22" s="266" customFormat="1" ht="25.5">
      <c r="A98" s="267" t="s">
        <v>322</v>
      </c>
      <c r="B98" s="185" t="s">
        <v>323</v>
      </c>
      <c r="C98" s="183"/>
      <c r="D98" s="181">
        <v>47.04</v>
      </c>
      <c r="E98" s="182"/>
      <c r="F98" s="182"/>
      <c r="G98" s="183"/>
      <c r="H98" s="181">
        <v>158</v>
      </c>
      <c r="I98" s="182"/>
      <c r="J98" s="182"/>
      <c r="K98" s="183"/>
      <c r="L98" s="181">
        <v>40</v>
      </c>
      <c r="M98" s="182"/>
      <c r="N98" s="182"/>
      <c r="O98" s="183"/>
      <c r="P98" s="181">
        <v>5</v>
      </c>
      <c r="Q98" s="182"/>
      <c r="R98" s="182"/>
      <c r="S98" s="183"/>
      <c r="T98" s="181">
        <v>1</v>
      </c>
      <c r="U98" s="182"/>
      <c r="V98" s="182"/>
    </row>
    <row r="99" spans="1:22" s="266" customFormat="1" ht="25.5">
      <c r="A99" s="267" t="s">
        <v>324</v>
      </c>
      <c r="B99" s="185" t="s">
        <v>325</v>
      </c>
      <c r="C99" s="183"/>
      <c r="D99" s="181">
        <v>58.8</v>
      </c>
      <c r="E99" s="182"/>
      <c r="F99" s="182"/>
      <c r="G99" s="183"/>
      <c r="H99" s="181">
        <v>223</v>
      </c>
      <c r="I99" s="182"/>
      <c r="J99" s="182"/>
      <c r="K99" s="183"/>
      <c r="L99" s="181">
        <v>60</v>
      </c>
      <c r="M99" s="182"/>
      <c r="N99" s="182"/>
      <c r="O99" s="183"/>
      <c r="P99" s="181">
        <v>5</v>
      </c>
      <c r="Q99" s="182"/>
      <c r="R99" s="182"/>
      <c r="S99" s="183"/>
      <c r="T99" s="181">
        <v>1</v>
      </c>
      <c r="U99" s="182"/>
      <c r="V99" s="182"/>
    </row>
    <row r="100" spans="1:22" s="266" customFormat="1" ht="25.5">
      <c r="A100" s="267" t="s">
        <v>326</v>
      </c>
      <c r="B100" s="185" t="s">
        <v>327</v>
      </c>
      <c r="C100" s="183"/>
      <c r="D100" s="181">
        <v>88.199999999999989</v>
      </c>
      <c r="E100" s="182"/>
      <c r="F100" s="182"/>
      <c r="G100" s="183"/>
      <c r="H100" s="181">
        <v>1</v>
      </c>
      <c r="I100" s="182"/>
      <c r="J100" s="182"/>
      <c r="K100" s="183"/>
      <c r="L100" s="181">
        <v>95</v>
      </c>
      <c r="M100" s="182"/>
      <c r="N100" s="182"/>
      <c r="O100" s="183"/>
      <c r="P100" s="181">
        <v>5</v>
      </c>
      <c r="Q100" s="182"/>
      <c r="R100" s="182"/>
      <c r="S100" s="183"/>
      <c r="T100" s="181">
        <v>1</v>
      </c>
      <c r="U100" s="182"/>
      <c r="V100" s="182"/>
    </row>
    <row r="101" spans="1:22" s="266" customFormat="1" ht="25.5">
      <c r="A101" s="267" t="s">
        <v>328</v>
      </c>
      <c r="B101" s="185" t="s">
        <v>329</v>
      </c>
      <c r="C101" s="183"/>
      <c r="D101" s="181">
        <v>117.6</v>
      </c>
      <c r="E101" s="182"/>
      <c r="F101" s="182"/>
      <c r="G101" s="183"/>
      <c r="H101" s="181">
        <v>1</v>
      </c>
      <c r="I101" s="182"/>
      <c r="J101" s="182"/>
      <c r="K101" s="183"/>
      <c r="L101" s="181">
        <v>100</v>
      </c>
      <c r="M101" s="182"/>
      <c r="N101" s="182"/>
      <c r="O101" s="183"/>
      <c r="P101" s="181">
        <v>5</v>
      </c>
      <c r="Q101" s="182"/>
      <c r="R101" s="182"/>
      <c r="S101" s="183"/>
      <c r="T101" s="181">
        <v>1</v>
      </c>
      <c r="U101" s="182"/>
      <c r="V101" s="182"/>
    </row>
    <row r="102" spans="1:22" s="266" customFormat="1" ht="25.5">
      <c r="A102" s="267" t="s">
        <v>330</v>
      </c>
      <c r="B102" s="185" t="s">
        <v>331</v>
      </c>
      <c r="C102" s="183"/>
      <c r="D102" s="181">
        <v>176.39999999999998</v>
      </c>
      <c r="E102" s="182"/>
      <c r="F102" s="182"/>
      <c r="G102" s="183"/>
      <c r="H102" s="181">
        <v>1</v>
      </c>
      <c r="I102" s="182"/>
      <c r="J102" s="182"/>
      <c r="K102" s="183"/>
      <c r="L102" s="181">
        <v>200</v>
      </c>
      <c r="M102" s="182"/>
      <c r="N102" s="182"/>
      <c r="O102" s="183"/>
      <c r="P102" s="181">
        <v>5</v>
      </c>
      <c r="Q102" s="182"/>
      <c r="R102" s="182"/>
      <c r="S102" s="183"/>
      <c r="T102" s="181">
        <v>1</v>
      </c>
      <c r="U102" s="182"/>
      <c r="V102" s="182"/>
    </row>
    <row r="103" spans="1:22" s="266" customFormat="1" ht="25.5">
      <c r="A103" s="268" t="s">
        <v>332</v>
      </c>
      <c r="B103" s="185" t="s">
        <v>333</v>
      </c>
      <c r="C103" s="183"/>
      <c r="D103" s="181">
        <v>29.4</v>
      </c>
      <c r="E103" s="182"/>
      <c r="F103" s="182"/>
      <c r="G103" s="183"/>
      <c r="H103" s="181">
        <v>115</v>
      </c>
      <c r="I103" s="182"/>
      <c r="J103" s="182"/>
      <c r="K103" s="183"/>
      <c r="L103" s="181">
        <v>5</v>
      </c>
      <c r="M103" s="182"/>
      <c r="N103" s="182"/>
      <c r="O103" s="183"/>
      <c r="P103" s="181">
        <v>5</v>
      </c>
      <c r="Q103" s="182"/>
      <c r="R103" s="182"/>
      <c r="S103" s="183"/>
      <c r="T103" s="181">
        <v>1</v>
      </c>
      <c r="U103" s="182"/>
      <c r="V103" s="182"/>
    </row>
    <row r="104" spans="1:22" s="266" customFormat="1" ht="25.5">
      <c r="A104" s="268" t="s">
        <v>334</v>
      </c>
      <c r="B104" s="185" t="s">
        <v>335</v>
      </c>
      <c r="C104" s="183"/>
      <c r="D104" s="181">
        <v>47.04</v>
      </c>
      <c r="E104" s="182"/>
      <c r="F104" s="182"/>
      <c r="G104" s="183"/>
      <c r="H104" s="181">
        <v>158</v>
      </c>
      <c r="I104" s="182"/>
      <c r="J104" s="182"/>
      <c r="K104" s="183"/>
      <c r="L104" s="181">
        <v>30</v>
      </c>
      <c r="M104" s="182"/>
      <c r="N104" s="182"/>
      <c r="O104" s="183"/>
      <c r="P104" s="181">
        <v>5</v>
      </c>
      <c r="Q104" s="182"/>
      <c r="R104" s="182"/>
      <c r="S104" s="183"/>
      <c r="T104" s="181">
        <v>1</v>
      </c>
      <c r="U104" s="182"/>
      <c r="V104" s="182"/>
    </row>
    <row r="105" spans="1:22" s="266" customFormat="1" ht="25.5">
      <c r="A105" s="268" t="s">
        <v>336</v>
      </c>
      <c r="B105" s="185" t="s">
        <v>337</v>
      </c>
      <c r="C105" s="183"/>
      <c r="D105" s="181">
        <v>58.8</v>
      </c>
      <c r="E105" s="182"/>
      <c r="F105" s="182"/>
      <c r="G105" s="183"/>
      <c r="H105" s="181">
        <v>223</v>
      </c>
      <c r="I105" s="182"/>
      <c r="J105" s="182"/>
      <c r="K105" s="183"/>
      <c r="L105" s="181">
        <v>40</v>
      </c>
      <c r="M105" s="182"/>
      <c r="N105" s="182"/>
      <c r="O105" s="183"/>
      <c r="P105" s="181">
        <v>5</v>
      </c>
      <c r="Q105" s="182"/>
      <c r="R105" s="182"/>
      <c r="S105" s="183"/>
      <c r="T105" s="181">
        <v>1</v>
      </c>
      <c r="U105" s="182"/>
      <c r="V105" s="182"/>
    </row>
    <row r="106" spans="1:22" s="266" customFormat="1" ht="25.5">
      <c r="A106" s="268" t="s">
        <v>338</v>
      </c>
      <c r="B106" s="185" t="s">
        <v>339</v>
      </c>
      <c r="C106" s="183"/>
      <c r="D106" s="181">
        <v>88.199999999999989</v>
      </c>
      <c r="E106" s="182"/>
      <c r="F106" s="182"/>
      <c r="G106" s="183"/>
      <c r="H106" s="181">
        <v>1</v>
      </c>
      <c r="I106" s="182"/>
      <c r="J106" s="182"/>
      <c r="K106" s="183"/>
      <c r="L106" s="181">
        <v>60</v>
      </c>
      <c r="M106" s="182"/>
      <c r="N106" s="182"/>
      <c r="O106" s="183"/>
      <c r="P106" s="181">
        <v>5</v>
      </c>
      <c r="Q106" s="182"/>
      <c r="R106" s="182"/>
      <c r="S106" s="183"/>
      <c r="T106" s="181">
        <v>1</v>
      </c>
      <c r="U106" s="182"/>
      <c r="V106" s="182"/>
    </row>
    <row r="107" spans="1:22" s="266" customFormat="1" ht="25.5">
      <c r="A107" s="268" t="s">
        <v>340</v>
      </c>
      <c r="B107" s="185" t="s">
        <v>341</v>
      </c>
      <c r="C107" s="183"/>
      <c r="D107" s="181">
        <v>117.6</v>
      </c>
      <c r="E107" s="182"/>
      <c r="F107" s="182"/>
      <c r="G107" s="183"/>
      <c r="H107" s="181">
        <v>1</v>
      </c>
      <c r="I107" s="182"/>
      <c r="J107" s="182"/>
      <c r="K107" s="183"/>
      <c r="L107" s="181">
        <v>70</v>
      </c>
      <c r="M107" s="182"/>
      <c r="N107" s="182"/>
      <c r="O107" s="183"/>
      <c r="P107" s="181">
        <v>5</v>
      </c>
      <c r="Q107" s="182"/>
      <c r="R107" s="182"/>
      <c r="S107" s="183"/>
      <c r="T107" s="181">
        <v>1</v>
      </c>
      <c r="U107" s="182"/>
      <c r="V107" s="182"/>
    </row>
    <row r="108" spans="1:22" s="266" customFormat="1" ht="25.5">
      <c r="A108" s="268" t="s">
        <v>342</v>
      </c>
      <c r="B108" s="185" t="s">
        <v>343</v>
      </c>
      <c r="C108" s="183"/>
      <c r="D108" s="181">
        <v>176.39999999999998</v>
      </c>
      <c r="E108" s="182"/>
      <c r="F108" s="182"/>
      <c r="G108" s="183"/>
      <c r="H108" s="181">
        <v>1</v>
      </c>
      <c r="I108" s="182"/>
      <c r="J108" s="182"/>
      <c r="K108" s="183"/>
      <c r="L108" s="181">
        <v>200</v>
      </c>
      <c r="M108" s="182"/>
      <c r="N108" s="182"/>
      <c r="O108" s="183"/>
      <c r="P108" s="181">
        <v>5</v>
      </c>
      <c r="Q108" s="182"/>
      <c r="R108" s="182"/>
      <c r="S108" s="183"/>
      <c r="T108" s="181">
        <v>1</v>
      </c>
      <c r="U108" s="182"/>
      <c r="V108" s="182"/>
    </row>
    <row r="109" spans="1:22" s="266" customFormat="1" ht="12.75">
      <c r="A109" s="268" t="s">
        <v>551</v>
      </c>
      <c r="B109" s="185" t="s">
        <v>552</v>
      </c>
      <c r="C109" s="183"/>
      <c r="D109" s="181">
        <v>29.4</v>
      </c>
      <c r="E109" s="182"/>
      <c r="F109" s="182"/>
      <c r="G109" s="183"/>
      <c r="H109" s="181">
        <v>1</v>
      </c>
      <c r="I109" s="182"/>
      <c r="J109" s="182"/>
      <c r="K109" s="183"/>
      <c r="L109" s="181">
        <v>5</v>
      </c>
      <c r="M109" s="182"/>
      <c r="N109" s="182"/>
      <c r="O109" s="183"/>
      <c r="P109" s="181">
        <v>5</v>
      </c>
      <c r="Q109" s="182"/>
      <c r="R109" s="182"/>
      <c r="S109" s="183"/>
      <c r="T109" s="181">
        <v>1</v>
      </c>
      <c r="U109" s="182"/>
      <c r="V109" s="182"/>
    </row>
    <row r="110" spans="1:22" s="266" customFormat="1" ht="12.75">
      <c r="A110" s="268" t="s">
        <v>553</v>
      </c>
      <c r="B110" s="185" t="s">
        <v>554</v>
      </c>
      <c r="C110" s="183"/>
      <c r="D110" s="181">
        <v>47.04</v>
      </c>
      <c r="E110" s="182"/>
      <c r="F110" s="182"/>
      <c r="G110" s="183"/>
      <c r="H110" s="181">
        <v>1</v>
      </c>
      <c r="I110" s="182"/>
      <c r="J110" s="182"/>
      <c r="K110" s="183"/>
      <c r="L110" s="181">
        <v>17</v>
      </c>
      <c r="M110" s="182"/>
      <c r="N110" s="182"/>
      <c r="O110" s="183"/>
      <c r="P110" s="181">
        <v>5</v>
      </c>
      <c r="Q110" s="182"/>
      <c r="R110" s="182"/>
      <c r="S110" s="183"/>
      <c r="T110" s="181">
        <v>1</v>
      </c>
      <c r="U110" s="182"/>
      <c r="V110" s="182"/>
    </row>
    <row r="111" spans="1:22" s="266" customFormat="1" ht="12.75">
      <c r="A111" s="268" t="s">
        <v>555</v>
      </c>
      <c r="B111" s="185" t="s">
        <v>556</v>
      </c>
      <c r="C111" s="183"/>
      <c r="D111" s="181">
        <v>58.8</v>
      </c>
      <c r="E111" s="182"/>
      <c r="F111" s="182"/>
      <c r="G111" s="183"/>
      <c r="H111" s="181">
        <v>1</v>
      </c>
      <c r="I111" s="182"/>
      <c r="J111" s="182"/>
      <c r="K111" s="183"/>
      <c r="L111" s="181">
        <v>19</v>
      </c>
      <c r="M111" s="182"/>
      <c r="N111" s="182"/>
      <c r="O111" s="183"/>
      <c r="P111" s="181">
        <v>5</v>
      </c>
      <c r="Q111" s="182"/>
      <c r="R111" s="182"/>
      <c r="S111" s="183"/>
      <c r="T111" s="181">
        <v>1</v>
      </c>
      <c r="U111" s="182"/>
      <c r="V111" s="182"/>
    </row>
    <row r="112" spans="1:22" s="266" customFormat="1" ht="12.75">
      <c r="A112" s="268" t="s">
        <v>557</v>
      </c>
      <c r="B112" s="185" t="s">
        <v>558</v>
      </c>
      <c r="C112" s="183"/>
      <c r="D112" s="181">
        <v>88.199999999999989</v>
      </c>
      <c r="E112" s="182"/>
      <c r="F112" s="182"/>
      <c r="G112" s="183"/>
      <c r="H112" s="181">
        <v>1</v>
      </c>
      <c r="I112" s="182"/>
      <c r="J112" s="182"/>
      <c r="K112" s="183"/>
      <c r="L112" s="181">
        <v>21</v>
      </c>
      <c r="M112" s="182"/>
      <c r="N112" s="182"/>
      <c r="O112" s="183"/>
      <c r="P112" s="181">
        <v>5</v>
      </c>
      <c r="Q112" s="182"/>
      <c r="R112" s="182"/>
      <c r="S112" s="183"/>
      <c r="T112" s="181">
        <v>1</v>
      </c>
      <c r="U112" s="182"/>
      <c r="V112" s="182"/>
    </row>
    <row r="113" spans="1:22" s="266" customFormat="1" ht="12.75">
      <c r="A113" s="268" t="s">
        <v>559</v>
      </c>
      <c r="B113" s="185" t="s">
        <v>560</v>
      </c>
      <c r="C113" s="183"/>
      <c r="D113" s="181">
        <v>117.6</v>
      </c>
      <c r="E113" s="182"/>
      <c r="F113" s="182"/>
      <c r="G113" s="183"/>
      <c r="H113" s="181">
        <v>1</v>
      </c>
      <c r="I113" s="182"/>
      <c r="J113" s="182"/>
      <c r="K113" s="183"/>
      <c r="L113" s="181">
        <v>23</v>
      </c>
      <c r="M113" s="182"/>
      <c r="N113" s="182"/>
      <c r="O113" s="183"/>
      <c r="P113" s="181">
        <v>5</v>
      </c>
      <c r="Q113" s="182"/>
      <c r="R113" s="182"/>
      <c r="S113" s="183"/>
      <c r="T113" s="181">
        <v>1</v>
      </c>
      <c r="U113" s="182"/>
      <c r="V113" s="182"/>
    </row>
    <row r="114" spans="1:22" s="266" customFormat="1" ht="12.75">
      <c r="A114" s="268" t="s">
        <v>561</v>
      </c>
      <c r="B114" s="185" t="s">
        <v>562</v>
      </c>
      <c r="C114" s="183"/>
      <c r="D114" s="181">
        <v>176.39999999999998</v>
      </c>
      <c r="E114" s="182"/>
      <c r="F114" s="182"/>
      <c r="G114" s="183"/>
      <c r="H114" s="181">
        <v>1</v>
      </c>
      <c r="I114" s="182"/>
      <c r="J114" s="182"/>
      <c r="K114" s="183"/>
      <c r="L114" s="181">
        <v>25</v>
      </c>
      <c r="M114" s="182"/>
      <c r="N114" s="182"/>
      <c r="O114" s="183"/>
      <c r="P114" s="181">
        <v>5</v>
      </c>
      <c r="Q114" s="182"/>
      <c r="R114" s="182"/>
      <c r="S114" s="183"/>
      <c r="T114" s="181">
        <v>1</v>
      </c>
      <c r="U114" s="182"/>
      <c r="V114" s="182"/>
    </row>
    <row r="115" spans="1:22" s="266" customFormat="1" ht="38.25">
      <c r="A115" s="126" t="s">
        <v>563</v>
      </c>
      <c r="B115" s="185" t="s">
        <v>564</v>
      </c>
      <c r="C115" s="183"/>
      <c r="D115" s="181">
        <v>801.17</v>
      </c>
      <c r="E115" s="182"/>
      <c r="F115" s="182"/>
      <c r="G115" s="183"/>
      <c r="H115" s="181">
        <v>1200</v>
      </c>
      <c r="I115" s="182"/>
      <c r="J115" s="182"/>
      <c r="K115" s="183"/>
      <c r="L115" s="181">
        <v>1611.37</v>
      </c>
      <c r="M115" s="182"/>
      <c r="N115" s="182"/>
      <c r="O115" s="183"/>
      <c r="P115" s="181">
        <v>1216.18</v>
      </c>
      <c r="Q115" s="182"/>
      <c r="R115" s="182"/>
      <c r="S115" s="183"/>
      <c r="T115" s="181">
        <v>400</v>
      </c>
      <c r="U115" s="182"/>
      <c r="V115" s="182"/>
    </row>
    <row r="116" spans="1:22" s="266" customFormat="1" ht="51">
      <c r="A116" s="126" t="s">
        <v>565</v>
      </c>
      <c r="B116" s="185" t="s">
        <v>566</v>
      </c>
      <c r="C116" s="183"/>
      <c r="D116" s="181">
        <v>1508.4</v>
      </c>
      <c r="E116" s="182"/>
      <c r="F116" s="182"/>
      <c r="G116" s="183"/>
      <c r="H116" s="181">
        <v>2000</v>
      </c>
      <c r="I116" s="182"/>
      <c r="J116" s="182"/>
      <c r="K116" s="183"/>
      <c r="L116" s="181">
        <v>2752.93</v>
      </c>
      <c r="M116" s="182"/>
      <c r="N116" s="182"/>
      <c r="O116" s="183"/>
      <c r="P116" s="181">
        <v>2329.4299999999998</v>
      </c>
      <c r="Q116" s="182"/>
      <c r="R116" s="182"/>
      <c r="S116" s="183"/>
      <c r="T116" s="181">
        <v>600</v>
      </c>
      <c r="U116" s="182"/>
      <c r="V116" s="182"/>
    </row>
    <row r="117" spans="1:22" s="266" customFormat="1" ht="51">
      <c r="A117" s="126" t="s">
        <v>567</v>
      </c>
      <c r="B117" s="185" t="s">
        <v>568</v>
      </c>
      <c r="C117" s="183"/>
      <c r="D117" s="181">
        <v>2000</v>
      </c>
      <c r="E117" s="182"/>
      <c r="F117" s="182"/>
      <c r="G117" s="183"/>
      <c r="H117" s="181">
        <v>2800</v>
      </c>
      <c r="I117" s="182"/>
      <c r="J117" s="182"/>
      <c r="K117" s="183"/>
      <c r="L117" s="181">
        <v>3770.99</v>
      </c>
      <c r="M117" s="182"/>
      <c r="N117" s="182"/>
      <c r="O117" s="183"/>
      <c r="P117" s="181">
        <v>3377.87</v>
      </c>
      <c r="Q117" s="182"/>
      <c r="R117" s="182"/>
      <c r="S117" s="183"/>
      <c r="T117" s="181">
        <v>1100</v>
      </c>
      <c r="U117" s="182"/>
      <c r="V117" s="182"/>
    </row>
    <row r="118" spans="1:22" s="266" customFormat="1" ht="12.75">
      <c r="A118" s="126" t="s">
        <v>569</v>
      </c>
      <c r="B118" s="185" t="s">
        <v>570</v>
      </c>
      <c r="C118" s="183"/>
      <c r="D118" s="181">
        <v>15</v>
      </c>
      <c r="E118" s="182"/>
      <c r="F118" s="182"/>
      <c r="G118" s="183"/>
      <c r="H118" s="181">
        <v>3.5</v>
      </c>
      <c r="I118" s="182"/>
      <c r="J118" s="182"/>
      <c r="K118" s="183"/>
      <c r="L118" s="181">
        <v>0.5</v>
      </c>
      <c r="M118" s="182"/>
      <c r="N118" s="182"/>
      <c r="O118" s="183"/>
      <c r="P118" s="181">
        <v>2.5</v>
      </c>
      <c r="Q118" s="182"/>
      <c r="R118" s="182"/>
      <c r="S118" s="183"/>
      <c r="T118" s="181">
        <v>1</v>
      </c>
      <c r="U118" s="182"/>
      <c r="V118" s="182"/>
    </row>
    <row r="119" spans="1:22" s="266" customFormat="1" ht="12.75">
      <c r="A119" s="126" t="s">
        <v>571</v>
      </c>
      <c r="B119" s="185" t="s">
        <v>572</v>
      </c>
      <c r="C119" s="183"/>
      <c r="D119" s="181">
        <v>150</v>
      </c>
      <c r="E119" s="182"/>
      <c r="F119" s="182"/>
      <c r="G119" s="183"/>
      <c r="H119" s="181">
        <v>100</v>
      </c>
      <c r="I119" s="182"/>
      <c r="J119" s="182"/>
      <c r="K119" s="183"/>
      <c r="L119" s="181">
        <v>109.2</v>
      </c>
      <c r="M119" s="182"/>
      <c r="N119" s="182"/>
      <c r="O119" s="183"/>
      <c r="P119" s="181">
        <v>23</v>
      </c>
      <c r="Q119" s="182"/>
      <c r="R119" s="182"/>
      <c r="S119" s="183"/>
      <c r="T119" s="181">
        <v>1</v>
      </c>
      <c r="U119" s="182"/>
      <c r="V119" s="182"/>
    </row>
    <row r="120" spans="1:22" s="266" customFormat="1" ht="12.75">
      <c r="A120" s="126" t="s">
        <v>344</v>
      </c>
      <c r="B120" s="185" t="s">
        <v>345</v>
      </c>
      <c r="C120" s="183"/>
      <c r="D120" s="183"/>
      <c r="E120" s="184">
        <v>150</v>
      </c>
      <c r="F120" s="184">
        <v>115</v>
      </c>
      <c r="G120" s="183"/>
      <c r="H120" s="183"/>
      <c r="I120" s="184">
        <v>180</v>
      </c>
      <c r="J120" s="184">
        <v>180</v>
      </c>
      <c r="K120" s="183"/>
      <c r="L120" s="183"/>
      <c r="M120" s="184">
        <v>100</v>
      </c>
      <c r="N120" s="184">
        <v>100</v>
      </c>
      <c r="O120" s="183"/>
      <c r="P120" s="183"/>
      <c r="Q120" s="184">
        <v>200</v>
      </c>
      <c r="R120" s="184">
        <v>200</v>
      </c>
      <c r="S120" s="183"/>
      <c r="T120" s="183"/>
      <c r="U120" s="184">
        <v>100</v>
      </c>
      <c r="V120" s="184">
        <v>5</v>
      </c>
    </row>
    <row r="121" spans="1:22" s="266" customFormat="1" ht="25.5">
      <c r="A121" s="126" t="s">
        <v>573</v>
      </c>
      <c r="B121" s="185" t="s">
        <v>346</v>
      </c>
      <c r="C121" s="183"/>
      <c r="D121" s="183"/>
      <c r="E121" s="182"/>
      <c r="F121" s="184">
        <v>115</v>
      </c>
      <c r="G121" s="183"/>
      <c r="H121" s="183"/>
      <c r="I121" s="182"/>
      <c r="J121" s="184">
        <v>110</v>
      </c>
      <c r="K121" s="183"/>
      <c r="L121" s="183"/>
      <c r="M121" s="182"/>
      <c r="N121" s="184">
        <v>10</v>
      </c>
      <c r="O121" s="183"/>
      <c r="P121" s="183"/>
      <c r="Q121" s="182"/>
      <c r="R121" s="184">
        <v>118</v>
      </c>
      <c r="S121" s="183"/>
      <c r="T121" s="183"/>
      <c r="U121" s="182"/>
      <c r="V121" s="184">
        <v>5</v>
      </c>
    </row>
    <row r="122" spans="1:22" s="266" customFormat="1" ht="25.5">
      <c r="A122" s="126" t="s">
        <v>347</v>
      </c>
      <c r="B122" s="185" t="s">
        <v>348</v>
      </c>
      <c r="C122" s="183"/>
      <c r="D122" s="183"/>
      <c r="E122" s="184">
        <v>150</v>
      </c>
      <c r="F122" s="184">
        <v>110</v>
      </c>
      <c r="G122" s="183"/>
      <c r="H122" s="183"/>
      <c r="I122" s="184">
        <v>250</v>
      </c>
      <c r="J122" s="184">
        <v>250</v>
      </c>
      <c r="K122" s="183"/>
      <c r="L122" s="183"/>
      <c r="M122" s="184">
        <v>100</v>
      </c>
      <c r="N122" s="184">
        <v>110</v>
      </c>
      <c r="O122" s="183"/>
      <c r="P122" s="183"/>
      <c r="Q122" s="184">
        <v>218</v>
      </c>
      <c r="R122" s="184">
        <v>218</v>
      </c>
      <c r="S122" s="183"/>
      <c r="T122" s="183"/>
      <c r="U122" s="184">
        <v>100</v>
      </c>
      <c r="V122" s="184">
        <v>5</v>
      </c>
    </row>
    <row r="123" spans="1:22" s="266" customFormat="1" ht="12.75">
      <c r="A123" s="185" t="s">
        <v>106</v>
      </c>
      <c r="B123" s="185" t="s">
        <v>349</v>
      </c>
      <c r="C123" s="181">
        <v>9.4600000000000009</v>
      </c>
      <c r="D123" s="181">
        <v>4.7300000000000004</v>
      </c>
      <c r="E123" s="182"/>
      <c r="F123" s="182"/>
      <c r="G123" s="181">
        <v>0.01</v>
      </c>
      <c r="H123" s="181">
        <v>0.01</v>
      </c>
      <c r="I123" s="182"/>
      <c r="J123" s="182"/>
      <c r="K123" s="181">
        <v>2.6</v>
      </c>
      <c r="L123" s="181">
        <v>1.3</v>
      </c>
      <c r="M123" s="182"/>
      <c r="N123" s="182"/>
      <c r="O123" s="181">
        <v>2</v>
      </c>
      <c r="P123" s="181">
        <v>1</v>
      </c>
      <c r="Q123" s="182"/>
      <c r="R123" s="182"/>
      <c r="S123" s="181">
        <v>0</v>
      </c>
      <c r="T123" s="181">
        <v>0.73</v>
      </c>
      <c r="U123" s="182"/>
      <c r="V123" s="182"/>
    </row>
    <row r="124" spans="1:22" s="266" customFormat="1" ht="12.75">
      <c r="A124" s="185" t="s">
        <v>107</v>
      </c>
      <c r="B124" s="185" t="s">
        <v>350</v>
      </c>
      <c r="C124" s="181">
        <v>3.84</v>
      </c>
      <c r="D124" s="181">
        <v>1.92</v>
      </c>
      <c r="E124" s="182"/>
      <c r="F124" s="182"/>
      <c r="G124" s="181">
        <v>0.01</v>
      </c>
      <c r="H124" s="181">
        <v>0.01</v>
      </c>
      <c r="I124" s="182"/>
      <c r="J124" s="182"/>
      <c r="K124" s="181">
        <v>1.02</v>
      </c>
      <c r="L124" s="181">
        <v>0.51</v>
      </c>
      <c r="M124" s="182"/>
      <c r="N124" s="182"/>
      <c r="O124" s="181">
        <v>1.18</v>
      </c>
      <c r="P124" s="181">
        <v>0.59</v>
      </c>
      <c r="Q124" s="182"/>
      <c r="R124" s="182"/>
      <c r="S124" s="181">
        <v>0</v>
      </c>
      <c r="T124" s="181">
        <v>0.55000000000000004</v>
      </c>
      <c r="U124" s="182"/>
      <c r="V124" s="182"/>
    </row>
    <row r="125" spans="1:22" s="266" customFormat="1" ht="12.75">
      <c r="A125" s="185" t="s">
        <v>108</v>
      </c>
      <c r="B125" s="185" t="s">
        <v>351</v>
      </c>
      <c r="C125" s="181">
        <v>2</v>
      </c>
      <c r="D125" s="181">
        <v>1</v>
      </c>
      <c r="E125" s="182"/>
      <c r="F125" s="182"/>
      <c r="G125" s="181">
        <v>0.78</v>
      </c>
      <c r="H125" s="181">
        <v>0.43</v>
      </c>
      <c r="I125" s="182"/>
      <c r="J125" s="182"/>
      <c r="K125" s="181">
        <v>0.72</v>
      </c>
      <c r="L125" s="181">
        <v>0.36</v>
      </c>
      <c r="M125" s="182"/>
      <c r="N125" s="182"/>
      <c r="O125" s="181">
        <v>1.04</v>
      </c>
      <c r="P125" s="181">
        <v>0.52</v>
      </c>
      <c r="Q125" s="182"/>
      <c r="R125" s="182"/>
      <c r="S125" s="181">
        <v>0</v>
      </c>
      <c r="T125" s="181">
        <v>0.51</v>
      </c>
      <c r="U125" s="182"/>
      <c r="V125" s="182"/>
    </row>
    <row r="126" spans="1:22" s="266" customFormat="1" ht="12.75">
      <c r="A126" s="185" t="s">
        <v>109</v>
      </c>
      <c r="B126" s="185" t="s">
        <v>352</v>
      </c>
      <c r="C126" s="181">
        <v>0.4</v>
      </c>
      <c r="D126" s="181">
        <v>0.2</v>
      </c>
      <c r="E126" s="182"/>
      <c r="F126" s="182"/>
      <c r="G126" s="181">
        <v>0.78</v>
      </c>
      <c r="H126" s="181">
        <v>0.43</v>
      </c>
      <c r="I126" s="182"/>
      <c r="J126" s="182"/>
      <c r="K126" s="181">
        <v>0.6</v>
      </c>
      <c r="L126" s="181">
        <v>0.3</v>
      </c>
      <c r="M126" s="182"/>
      <c r="N126" s="182"/>
      <c r="O126" s="181">
        <v>1.1399999999999999</v>
      </c>
      <c r="P126" s="181">
        <v>0.56999999999999995</v>
      </c>
      <c r="Q126" s="182"/>
      <c r="R126" s="182"/>
      <c r="S126" s="181">
        <v>0</v>
      </c>
      <c r="T126" s="181">
        <v>0.41</v>
      </c>
      <c r="U126" s="182"/>
      <c r="V126" s="182"/>
    </row>
    <row r="127" spans="1:22" s="266" customFormat="1" ht="12.75">
      <c r="A127" s="185" t="s">
        <v>112</v>
      </c>
      <c r="B127" s="185" t="s">
        <v>353</v>
      </c>
      <c r="C127" s="181">
        <v>0.51</v>
      </c>
      <c r="D127" s="181">
        <v>0.26</v>
      </c>
      <c r="E127" s="182"/>
      <c r="F127" s="182"/>
      <c r="G127" s="181">
        <v>0.78</v>
      </c>
      <c r="H127" s="181">
        <v>0.43</v>
      </c>
      <c r="I127" s="182"/>
      <c r="J127" s="182"/>
      <c r="K127" s="181">
        <v>5.76</v>
      </c>
      <c r="L127" s="181">
        <v>2.88</v>
      </c>
      <c r="M127" s="182"/>
      <c r="N127" s="182"/>
      <c r="O127" s="181">
        <v>5.44</v>
      </c>
      <c r="P127" s="181">
        <v>2.72</v>
      </c>
      <c r="Q127" s="182"/>
      <c r="R127" s="182"/>
      <c r="S127" s="181">
        <v>0</v>
      </c>
      <c r="T127" s="181">
        <v>0.73</v>
      </c>
      <c r="U127" s="182"/>
      <c r="V127" s="182"/>
    </row>
    <row r="128" spans="1:22" s="266" customFormat="1" ht="12.75">
      <c r="A128" s="185" t="s">
        <v>113</v>
      </c>
      <c r="B128" s="185" t="s">
        <v>354</v>
      </c>
      <c r="C128" s="181">
        <v>0.57999999999999996</v>
      </c>
      <c r="D128" s="181">
        <v>0.28999999999999998</v>
      </c>
      <c r="E128" s="182"/>
      <c r="F128" s="182"/>
      <c r="G128" s="181">
        <v>0.78</v>
      </c>
      <c r="H128" s="181">
        <v>0.43</v>
      </c>
      <c r="I128" s="182"/>
      <c r="J128" s="182"/>
      <c r="K128" s="181">
        <v>3.82</v>
      </c>
      <c r="L128" s="181">
        <v>1.91</v>
      </c>
      <c r="M128" s="182"/>
      <c r="N128" s="182"/>
      <c r="O128" s="181">
        <v>3.68</v>
      </c>
      <c r="P128" s="181">
        <v>1.84</v>
      </c>
      <c r="Q128" s="182"/>
      <c r="R128" s="182"/>
      <c r="S128" s="181">
        <v>0</v>
      </c>
      <c r="T128" s="181">
        <v>0.55000000000000004</v>
      </c>
      <c r="U128" s="182"/>
      <c r="V128" s="182"/>
    </row>
    <row r="129" spans="1:22" s="266" customFormat="1" ht="12.75">
      <c r="A129" s="185" t="s">
        <v>114</v>
      </c>
      <c r="B129" s="185" t="s">
        <v>355</v>
      </c>
      <c r="C129" s="181">
        <v>0.38</v>
      </c>
      <c r="D129" s="181">
        <v>0.19</v>
      </c>
      <c r="E129" s="182"/>
      <c r="F129" s="182"/>
      <c r="G129" s="181">
        <v>0.78</v>
      </c>
      <c r="H129" s="181">
        <v>0.43</v>
      </c>
      <c r="I129" s="182"/>
      <c r="J129" s="182"/>
      <c r="K129" s="181">
        <v>3.48</v>
      </c>
      <c r="L129" s="181">
        <v>1.74</v>
      </c>
      <c r="M129" s="182"/>
      <c r="N129" s="182"/>
      <c r="O129" s="181">
        <v>1.74</v>
      </c>
      <c r="P129" s="181">
        <v>0.87</v>
      </c>
      <c r="Q129" s="182"/>
      <c r="R129" s="182"/>
      <c r="S129" s="181">
        <v>0</v>
      </c>
      <c r="T129" s="181">
        <v>0.51</v>
      </c>
      <c r="U129" s="182"/>
      <c r="V129" s="182"/>
    </row>
    <row r="130" spans="1:22" s="266" customFormat="1" ht="12.75">
      <c r="A130" s="185" t="s">
        <v>115</v>
      </c>
      <c r="B130" s="185" t="s">
        <v>356</v>
      </c>
      <c r="C130" s="181">
        <v>0.64</v>
      </c>
      <c r="D130" s="181">
        <v>0.32</v>
      </c>
      <c r="E130" s="182"/>
      <c r="F130" s="182"/>
      <c r="G130" s="181">
        <v>0.78</v>
      </c>
      <c r="H130" s="181">
        <v>0.43</v>
      </c>
      <c r="I130" s="182"/>
      <c r="J130" s="182"/>
      <c r="K130" s="181">
        <v>3.24</v>
      </c>
      <c r="L130" s="181">
        <v>1.62</v>
      </c>
      <c r="M130" s="182"/>
      <c r="N130" s="182"/>
      <c r="O130" s="181">
        <v>1.42</v>
      </c>
      <c r="P130" s="181">
        <v>0.71</v>
      </c>
      <c r="Q130" s="182"/>
      <c r="R130" s="182"/>
      <c r="S130" s="181">
        <v>0</v>
      </c>
      <c r="T130" s="181">
        <v>0.41</v>
      </c>
      <c r="U130" s="182"/>
      <c r="V130" s="182"/>
    </row>
    <row r="131" spans="1:22" s="266" customFormat="1" ht="12.75">
      <c r="A131" s="185" t="s">
        <v>116</v>
      </c>
      <c r="B131" s="185" t="s">
        <v>357</v>
      </c>
      <c r="C131" s="181">
        <v>3.6</v>
      </c>
      <c r="D131" s="181">
        <v>1.8</v>
      </c>
      <c r="E131" s="182"/>
      <c r="F131" s="182"/>
      <c r="G131" s="181">
        <v>0.78</v>
      </c>
      <c r="H131" s="181">
        <v>0.43</v>
      </c>
      <c r="I131" s="182"/>
      <c r="J131" s="182"/>
      <c r="K131" s="181">
        <v>3.78</v>
      </c>
      <c r="L131" s="181">
        <v>1.89</v>
      </c>
      <c r="M131" s="182"/>
      <c r="N131" s="182"/>
      <c r="O131" s="181">
        <v>4.9800000000000004</v>
      </c>
      <c r="P131" s="181">
        <v>2.4900000000000002</v>
      </c>
      <c r="Q131" s="182"/>
      <c r="R131" s="182"/>
      <c r="S131" s="181">
        <v>0</v>
      </c>
      <c r="T131" s="181">
        <v>0.73</v>
      </c>
      <c r="U131" s="182"/>
      <c r="V131" s="182"/>
    </row>
    <row r="132" spans="1:22" s="266" customFormat="1" ht="12.75">
      <c r="A132" s="185" t="s">
        <v>117</v>
      </c>
      <c r="B132" s="185" t="s">
        <v>358</v>
      </c>
      <c r="C132" s="181">
        <v>1.18</v>
      </c>
      <c r="D132" s="181">
        <v>0.59</v>
      </c>
      <c r="E132" s="182"/>
      <c r="F132" s="182"/>
      <c r="G132" s="181">
        <v>0.78</v>
      </c>
      <c r="H132" s="181">
        <v>0.43</v>
      </c>
      <c r="I132" s="182"/>
      <c r="J132" s="182"/>
      <c r="K132" s="181">
        <v>4.42</v>
      </c>
      <c r="L132" s="181">
        <v>2.21</v>
      </c>
      <c r="M132" s="182"/>
      <c r="N132" s="182"/>
      <c r="O132" s="181">
        <v>3.04</v>
      </c>
      <c r="P132" s="181">
        <v>1.52</v>
      </c>
      <c r="Q132" s="182"/>
      <c r="R132" s="182"/>
      <c r="S132" s="181">
        <v>0</v>
      </c>
      <c r="T132" s="181">
        <v>0.55000000000000004</v>
      </c>
      <c r="U132" s="182"/>
      <c r="V132" s="182"/>
    </row>
    <row r="133" spans="1:22" s="266" customFormat="1" ht="12.75">
      <c r="A133" s="185" t="s">
        <v>118</v>
      </c>
      <c r="B133" s="185" t="s">
        <v>359</v>
      </c>
      <c r="C133" s="181">
        <v>0.44</v>
      </c>
      <c r="D133" s="181">
        <v>0.22</v>
      </c>
      <c r="E133" s="182"/>
      <c r="F133" s="182"/>
      <c r="G133" s="181">
        <v>0.78</v>
      </c>
      <c r="H133" s="181">
        <v>0.43</v>
      </c>
      <c r="I133" s="182"/>
      <c r="J133" s="182"/>
      <c r="K133" s="181">
        <v>2.08</v>
      </c>
      <c r="L133" s="181">
        <v>1.04</v>
      </c>
      <c r="M133" s="182"/>
      <c r="N133" s="182"/>
      <c r="O133" s="181">
        <v>1.56</v>
      </c>
      <c r="P133" s="181">
        <v>0.78</v>
      </c>
      <c r="Q133" s="182"/>
      <c r="R133" s="182"/>
      <c r="S133" s="181">
        <v>0</v>
      </c>
      <c r="T133" s="181">
        <v>0.51</v>
      </c>
      <c r="U133" s="182"/>
      <c r="V133" s="182"/>
    </row>
    <row r="134" spans="1:22" s="266" customFormat="1" ht="12.75">
      <c r="A134" s="185" t="s">
        <v>119</v>
      </c>
      <c r="B134" s="185" t="s">
        <v>360</v>
      </c>
      <c r="C134" s="181">
        <v>0.35</v>
      </c>
      <c r="D134" s="181">
        <v>0.18</v>
      </c>
      <c r="E134" s="182"/>
      <c r="F134" s="182"/>
      <c r="G134" s="181">
        <v>0.78</v>
      </c>
      <c r="H134" s="181">
        <v>0.43</v>
      </c>
      <c r="I134" s="182"/>
      <c r="J134" s="182"/>
      <c r="K134" s="181">
        <v>1.28</v>
      </c>
      <c r="L134" s="181">
        <v>0.64</v>
      </c>
      <c r="M134" s="182"/>
      <c r="N134" s="182"/>
      <c r="O134" s="181">
        <v>1.2</v>
      </c>
      <c r="P134" s="181">
        <v>0.6</v>
      </c>
      <c r="Q134" s="182"/>
      <c r="R134" s="182"/>
      <c r="S134" s="181">
        <v>0</v>
      </c>
      <c r="T134" s="181">
        <v>0.41</v>
      </c>
      <c r="U134" s="182"/>
      <c r="V134" s="182"/>
    </row>
    <row r="135" spans="1:22" s="266" customFormat="1" ht="12.75">
      <c r="A135" s="185" t="s">
        <v>120</v>
      </c>
      <c r="B135" s="185" t="s">
        <v>361</v>
      </c>
      <c r="C135" s="181">
        <v>3.41</v>
      </c>
      <c r="D135" s="181">
        <v>1.71</v>
      </c>
      <c r="E135" s="182"/>
      <c r="F135" s="182"/>
      <c r="G135" s="181">
        <v>0.56000000000000005</v>
      </c>
      <c r="H135" s="181">
        <v>0.31</v>
      </c>
      <c r="I135" s="182"/>
      <c r="J135" s="182"/>
      <c r="K135" s="181">
        <v>1.46</v>
      </c>
      <c r="L135" s="181">
        <v>0.73</v>
      </c>
      <c r="M135" s="182"/>
      <c r="N135" s="182"/>
      <c r="O135" s="181">
        <v>1.18</v>
      </c>
      <c r="P135" s="181">
        <v>0.59</v>
      </c>
      <c r="Q135" s="182"/>
      <c r="R135" s="182"/>
      <c r="S135" s="181">
        <v>0</v>
      </c>
      <c r="T135" s="181">
        <v>0.73</v>
      </c>
      <c r="U135" s="182"/>
      <c r="V135" s="182"/>
    </row>
    <row r="136" spans="1:22" s="266" customFormat="1" ht="12.75">
      <c r="A136" s="185" t="s">
        <v>121</v>
      </c>
      <c r="B136" s="185" t="s">
        <v>362</v>
      </c>
      <c r="C136" s="181">
        <v>1.02</v>
      </c>
      <c r="D136" s="181">
        <v>0.51</v>
      </c>
      <c r="E136" s="182"/>
      <c r="F136" s="182"/>
      <c r="G136" s="181">
        <v>0.56000000000000005</v>
      </c>
      <c r="H136" s="181">
        <v>0.31</v>
      </c>
      <c r="I136" s="182"/>
      <c r="J136" s="182"/>
      <c r="K136" s="181">
        <v>0.78</v>
      </c>
      <c r="L136" s="181">
        <v>0.39</v>
      </c>
      <c r="M136" s="182"/>
      <c r="N136" s="182"/>
      <c r="O136" s="181">
        <v>0.34</v>
      </c>
      <c r="P136" s="181">
        <v>0.17</v>
      </c>
      <c r="Q136" s="182"/>
      <c r="R136" s="182"/>
      <c r="S136" s="181">
        <v>0</v>
      </c>
      <c r="T136" s="181">
        <v>0.55000000000000004</v>
      </c>
      <c r="U136" s="182"/>
      <c r="V136" s="182"/>
    </row>
    <row r="137" spans="1:22" s="266" customFormat="1" ht="12.75">
      <c r="A137" s="185" t="s">
        <v>122</v>
      </c>
      <c r="B137" s="185" t="s">
        <v>363</v>
      </c>
      <c r="C137" s="181">
        <v>0.34</v>
      </c>
      <c r="D137" s="181">
        <v>0.17</v>
      </c>
      <c r="E137" s="182"/>
      <c r="F137" s="182"/>
      <c r="G137" s="181">
        <v>0.56000000000000005</v>
      </c>
      <c r="H137" s="181">
        <v>0.31</v>
      </c>
      <c r="I137" s="182"/>
      <c r="J137" s="182"/>
      <c r="K137" s="181">
        <v>0.62</v>
      </c>
      <c r="L137" s="181">
        <v>0.31</v>
      </c>
      <c r="M137" s="182"/>
      <c r="N137" s="182"/>
      <c r="O137" s="181">
        <v>0.14000000000000001</v>
      </c>
      <c r="P137" s="181">
        <v>7.0000000000000007E-2</v>
      </c>
      <c r="Q137" s="182"/>
      <c r="R137" s="182"/>
      <c r="S137" s="181">
        <v>0</v>
      </c>
      <c r="T137" s="181">
        <v>0.51</v>
      </c>
      <c r="U137" s="182"/>
      <c r="V137" s="182"/>
    </row>
    <row r="138" spans="1:22" s="266" customFormat="1" ht="12.75">
      <c r="A138" s="185" t="s">
        <v>123</v>
      </c>
      <c r="B138" s="185" t="s">
        <v>364</v>
      </c>
      <c r="C138" s="181">
        <v>0.34</v>
      </c>
      <c r="D138" s="181">
        <v>0.17</v>
      </c>
      <c r="E138" s="182"/>
      <c r="F138" s="182"/>
      <c r="G138" s="181">
        <v>0.56000000000000005</v>
      </c>
      <c r="H138" s="181">
        <v>0.31</v>
      </c>
      <c r="I138" s="182"/>
      <c r="J138" s="182"/>
      <c r="K138" s="181">
        <v>0.6</v>
      </c>
      <c r="L138" s="181">
        <v>0.3</v>
      </c>
      <c r="M138" s="182"/>
      <c r="N138" s="182"/>
      <c r="O138" s="181">
        <v>0.04</v>
      </c>
      <c r="P138" s="181">
        <v>0.02</v>
      </c>
      <c r="Q138" s="182"/>
      <c r="R138" s="182"/>
      <c r="S138" s="181">
        <v>0</v>
      </c>
      <c r="T138" s="181">
        <v>0.41</v>
      </c>
      <c r="U138" s="182"/>
      <c r="V138" s="182"/>
    </row>
    <row r="139" spans="1:22" s="266" customFormat="1" ht="12.75">
      <c r="A139" s="185" t="s">
        <v>124</v>
      </c>
      <c r="B139" s="185" t="s">
        <v>365</v>
      </c>
      <c r="C139" s="181">
        <v>4.5199999999999996</v>
      </c>
      <c r="D139" s="181">
        <v>2.2599999999999998</v>
      </c>
      <c r="E139" s="182"/>
      <c r="F139" s="182"/>
      <c r="G139" s="181">
        <v>0.2</v>
      </c>
      <c r="H139" s="181">
        <v>0.2</v>
      </c>
      <c r="I139" s="182"/>
      <c r="J139" s="182"/>
      <c r="K139" s="181">
        <v>0.1</v>
      </c>
      <c r="L139" s="181">
        <v>0.25</v>
      </c>
      <c r="M139" s="182"/>
      <c r="N139" s="182"/>
      <c r="O139" s="181">
        <v>7.24</v>
      </c>
      <c r="P139" s="181">
        <v>3.62</v>
      </c>
      <c r="Q139" s="182"/>
      <c r="R139" s="182"/>
      <c r="S139" s="181">
        <v>0</v>
      </c>
      <c r="T139" s="181">
        <v>0.9</v>
      </c>
      <c r="U139" s="182"/>
      <c r="V139" s="182"/>
    </row>
    <row r="140" spans="1:22" s="266" customFormat="1" ht="12.75">
      <c r="A140" s="185" t="s">
        <v>125</v>
      </c>
      <c r="B140" s="185" t="s">
        <v>366</v>
      </c>
      <c r="C140" s="181">
        <v>1.9</v>
      </c>
      <c r="D140" s="181">
        <v>0.95</v>
      </c>
      <c r="E140" s="182"/>
      <c r="F140" s="182"/>
      <c r="G140" s="181">
        <v>0.2</v>
      </c>
      <c r="H140" s="181">
        <v>0.1</v>
      </c>
      <c r="I140" s="182"/>
      <c r="J140" s="182"/>
      <c r="K140" s="181">
        <v>3</v>
      </c>
      <c r="L140" s="181">
        <v>1.5</v>
      </c>
      <c r="M140" s="182"/>
      <c r="N140" s="182"/>
      <c r="O140" s="181">
        <v>1.64</v>
      </c>
      <c r="P140" s="181">
        <v>0.82</v>
      </c>
      <c r="Q140" s="182"/>
      <c r="R140" s="182"/>
      <c r="S140" s="181">
        <v>0</v>
      </c>
      <c r="T140" s="181">
        <v>1.22</v>
      </c>
      <c r="U140" s="182"/>
      <c r="V140" s="182"/>
    </row>
    <row r="141" spans="1:22" s="266" customFormat="1" ht="12.75">
      <c r="A141" s="185" t="s">
        <v>126</v>
      </c>
      <c r="B141" s="185" t="s">
        <v>367</v>
      </c>
      <c r="C141" s="181">
        <v>4.5999999999999996</v>
      </c>
      <c r="D141" s="181">
        <v>2.2999999999999998</v>
      </c>
      <c r="E141" s="182"/>
      <c r="F141" s="182"/>
      <c r="G141" s="181">
        <v>7.82</v>
      </c>
      <c r="H141" s="181">
        <v>4.3099999999999996</v>
      </c>
      <c r="I141" s="182"/>
      <c r="J141" s="182"/>
      <c r="K141" s="181">
        <v>4.16</v>
      </c>
      <c r="L141" s="181">
        <v>2.08</v>
      </c>
      <c r="M141" s="182"/>
      <c r="N141" s="182"/>
      <c r="O141" s="181">
        <v>8.16</v>
      </c>
      <c r="P141" s="181">
        <v>4.08</v>
      </c>
      <c r="Q141" s="182"/>
      <c r="R141" s="182"/>
      <c r="S141" s="181">
        <v>0</v>
      </c>
      <c r="T141" s="181">
        <v>5.33</v>
      </c>
      <c r="U141" s="182"/>
      <c r="V141" s="182"/>
    </row>
    <row r="142" spans="1:22" s="266" customFormat="1" ht="12.75">
      <c r="A142" s="185" t="s">
        <v>127</v>
      </c>
      <c r="B142" s="185" t="s">
        <v>368</v>
      </c>
      <c r="C142" s="181">
        <v>17.38</v>
      </c>
      <c r="D142" s="181">
        <v>8.69</v>
      </c>
      <c r="E142" s="182"/>
      <c r="F142" s="182"/>
      <c r="G142" s="181">
        <v>8.08</v>
      </c>
      <c r="H142" s="181">
        <v>4.45</v>
      </c>
      <c r="I142" s="182"/>
      <c r="J142" s="182"/>
      <c r="K142" s="181">
        <v>7.5</v>
      </c>
      <c r="L142" s="181">
        <v>3.75</v>
      </c>
      <c r="M142" s="182"/>
      <c r="N142" s="182"/>
      <c r="O142" s="181">
        <v>6.46</v>
      </c>
      <c r="P142" s="181">
        <v>3.23</v>
      </c>
      <c r="Q142" s="182"/>
      <c r="R142" s="182"/>
      <c r="S142" s="181">
        <v>0</v>
      </c>
      <c r="T142" s="181">
        <v>2.4</v>
      </c>
      <c r="U142" s="182"/>
      <c r="V142" s="182"/>
    </row>
    <row r="143" spans="1:22" s="266" customFormat="1" ht="12.75">
      <c r="A143" s="185" t="s">
        <v>128</v>
      </c>
      <c r="B143" s="185" t="s">
        <v>369</v>
      </c>
      <c r="C143" s="181">
        <v>20.21</v>
      </c>
      <c r="D143" s="181">
        <v>10.11</v>
      </c>
      <c r="E143" s="182"/>
      <c r="F143" s="182"/>
      <c r="G143" s="181">
        <v>17.34</v>
      </c>
      <c r="H143" s="181">
        <v>9.5399999999999991</v>
      </c>
      <c r="I143" s="182"/>
      <c r="J143" s="182"/>
      <c r="K143" s="181">
        <v>10</v>
      </c>
      <c r="L143" s="181">
        <v>6.61</v>
      </c>
      <c r="M143" s="182"/>
      <c r="N143" s="182"/>
      <c r="O143" s="181">
        <v>12.74</v>
      </c>
      <c r="P143" s="181">
        <v>6.37</v>
      </c>
      <c r="Q143" s="182"/>
      <c r="R143" s="182"/>
      <c r="S143" s="181">
        <v>0</v>
      </c>
      <c r="T143" s="181">
        <v>5.7</v>
      </c>
      <c r="U143" s="182"/>
      <c r="V143" s="182"/>
    </row>
    <row r="144" spans="1:22" s="266" customFormat="1" ht="12.75">
      <c r="A144" s="185" t="s">
        <v>129</v>
      </c>
      <c r="B144" s="185" t="s">
        <v>370</v>
      </c>
      <c r="C144" s="181">
        <v>21.12</v>
      </c>
      <c r="D144" s="181">
        <v>10.56</v>
      </c>
      <c r="E144" s="182"/>
      <c r="F144" s="182"/>
      <c r="G144" s="181">
        <v>67.14</v>
      </c>
      <c r="H144" s="181">
        <v>36.93</v>
      </c>
      <c r="I144" s="182"/>
      <c r="J144" s="182"/>
      <c r="K144" s="181">
        <v>8.08</v>
      </c>
      <c r="L144" s="181">
        <v>4.04</v>
      </c>
      <c r="M144" s="182"/>
      <c r="N144" s="182"/>
      <c r="O144" s="181">
        <v>24.06</v>
      </c>
      <c r="P144" s="181">
        <v>12.03</v>
      </c>
      <c r="Q144" s="182"/>
      <c r="R144" s="182"/>
      <c r="S144" s="181">
        <v>0</v>
      </c>
      <c r="T144" s="181">
        <v>5</v>
      </c>
      <c r="U144" s="182"/>
      <c r="V144" s="182"/>
    </row>
    <row r="145" spans="1:22" s="266" customFormat="1" ht="12.75">
      <c r="A145" s="185" t="s">
        <v>130</v>
      </c>
      <c r="B145" s="185" t="s">
        <v>371</v>
      </c>
      <c r="C145" s="181">
        <v>41.8</v>
      </c>
      <c r="D145" s="181">
        <v>20.9</v>
      </c>
      <c r="E145" s="182"/>
      <c r="F145" s="182"/>
      <c r="G145" s="181">
        <v>110.92</v>
      </c>
      <c r="H145" s="181">
        <v>61.01</v>
      </c>
      <c r="I145" s="182"/>
      <c r="J145" s="182"/>
      <c r="K145" s="181">
        <v>10</v>
      </c>
      <c r="L145" s="181">
        <v>160.18</v>
      </c>
      <c r="M145" s="182"/>
      <c r="N145" s="182"/>
      <c r="O145" s="181">
        <v>63.12</v>
      </c>
      <c r="P145" s="181">
        <v>31.56</v>
      </c>
      <c r="Q145" s="182"/>
      <c r="R145" s="182"/>
      <c r="S145" s="181">
        <v>0</v>
      </c>
      <c r="T145" s="181">
        <v>17.5</v>
      </c>
      <c r="U145" s="182"/>
      <c r="V145" s="182"/>
    </row>
    <row r="146" spans="1:22" s="266" customFormat="1" ht="12.75">
      <c r="A146" s="185" t="s">
        <v>131</v>
      </c>
      <c r="B146" s="185" t="s">
        <v>372</v>
      </c>
      <c r="C146" s="181">
        <v>260.48</v>
      </c>
      <c r="D146" s="181">
        <v>130.24</v>
      </c>
      <c r="E146" s="182"/>
      <c r="F146" s="182"/>
      <c r="G146" s="181">
        <v>275.02</v>
      </c>
      <c r="H146" s="181">
        <v>151.27000000000001</v>
      </c>
      <c r="I146" s="182"/>
      <c r="J146" s="182"/>
      <c r="K146" s="181">
        <v>10</v>
      </c>
      <c r="L146" s="181">
        <v>160.18</v>
      </c>
      <c r="M146" s="182"/>
      <c r="N146" s="182"/>
      <c r="O146" s="181">
        <v>220.44</v>
      </c>
      <c r="P146" s="181">
        <v>110.22</v>
      </c>
      <c r="Q146" s="182"/>
      <c r="R146" s="182"/>
      <c r="S146" s="181">
        <v>0</v>
      </c>
      <c r="T146" s="181">
        <v>116.89</v>
      </c>
      <c r="U146" s="182"/>
      <c r="V146" s="182"/>
    </row>
    <row r="147" spans="1:22" s="266" customFormat="1" ht="12.75">
      <c r="A147" s="185" t="s">
        <v>373</v>
      </c>
      <c r="B147" s="185" t="s">
        <v>374</v>
      </c>
      <c r="C147" s="181">
        <v>2.2000000000000002</v>
      </c>
      <c r="D147" s="181">
        <v>1.1000000000000001</v>
      </c>
      <c r="E147" s="182"/>
      <c r="F147" s="182"/>
      <c r="G147" s="181">
        <v>11.08</v>
      </c>
      <c r="H147" s="181">
        <v>6.1</v>
      </c>
      <c r="I147" s="182"/>
      <c r="J147" s="182"/>
      <c r="K147" s="181">
        <v>2.08</v>
      </c>
      <c r="L147" s="181">
        <v>1.04</v>
      </c>
      <c r="M147" s="182"/>
      <c r="N147" s="182"/>
      <c r="O147" s="181">
        <v>3.48</v>
      </c>
      <c r="P147" s="181">
        <v>1.74</v>
      </c>
      <c r="Q147" s="182"/>
      <c r="R147" s="182"/>
      <c r="S147" s="181">
        <v>0</v>
      </c>
      <c r="T147" s="181">
        <v>1.91</v>
      </c>
      <c r="U147" s="182"/>
      <c r="V147" s="182"/>
    </row>
    <row r="148" spans="1:22" s="266" customFormat="1" ht="25.5">
      <c r="A148" s="185" t="s">
        <v>141</v>
      </c>
      <c r="B148" s="185" t="s">
        <v>376</v>
      </c>
      <c r="C148" s="181">
        <v>0.5</v>
      </c>
      <c r="D148" s="182"/>
      <c r="E148" s="182"/>
      <c r="F148" s="182"/>
      <c r="G148" s="181">
        <v>0.83</v>
      </c>
      <c r="H148" s="182"/>
      <c r="I148" s="182"/>
      <c r="J148" s="182"/>
      <c r="K148" s="181">
        <v>2.5</v>
      </c>
      <c r="L148" s="182"/>
      <c r="M148" s="182"/>
      <c r="N148" s="182"/>
      <c r="O148" s="181">
        <v>1.79</v>
      </c>
      <c r="P148" s="182"/>
      <c r="Q148" s="182"/>
      <c r="R148" s="182"/>
      <c r="S148" s="181">
        <v>37</v>
      </c>
      <c r="T148" s="182"/>
      <c r="U148" s="182"/>
      <c r="V148" s="182"/>
    </row>
    <row r="149" spans="1:22" s="266" customFormat="1" ht="25.5">
      <c r="A149" s="185" t="s">
        <v>142</v>
      </c>
      <c r="B149" s="185" t="s">
        <v>375</v>
      </c>
      <c r="C149" s="181">
        <v>0.3</v>
      </c>
      <c r="D149" s="182"/>
      <c r="E149" s="182"/>
      <c r="F149" s="182"/>
      <c r="G149" s="181">
        <v>0.5</v>
      </c>
      <c r="H149" s="182"/>
      <c r="I149" s="182"/>
      <c r="J149" s="182"/>
      <c r="K149" s="181">
        <v>3.75</v>
      </c>
      <c r="L149" s="182"/>
      <c r="M149" s="182"/>
      <c r="N149" s="182"/>
      <c r="O149" s="181">
        <v>1.07</v>
      </c>
      <c r="P149" s="182"/>
      <c r="Q149" s="182"/>
      <c r="R149" s="182"/>
      <c r="S149" s="181">
        <v>37</v>
      </c>
      <c r="T149" s="182"/>
      <c r="U149" s="182"/>
      <c r="V149" s="182"/>
    </row>
    <row r="150" spans="1:22" s="266" customFormat="1" ht="25.5">
      <c r="A150" s="185" t="s">
        <v>148</v>
      </c>
      <c r="B150" s="185" t="s">
        <v>377</v>
      </c>
      <c r="C150" s="181">
        <v>360</v>
      </c>
      <c r="D150" s="181">
        <v>180</v>
      </c>
      <c r="E150" s="182"/>
      <c r="F150" s="182"/>
      <c r="G150" s="181">
        <v>1609.38</v>
      </c>
      <c r="H150" s="181">
        <v>885.16</v>
      </c>
      <c r="I150" s="182"/>
      <c r="J150" s="182"/>
      <c r="K150" s="181">
        <v>780</v>
      </c>
      <c r="L150" s="181">
        <v>390</v>
      </c>
      <c r="M150" s="182"/>
      <c r="N150" s="182"/>
      <c r="O150" s="181">
        <v>899.76</v>
      </c>
      <c r="P150" s="181">
        <v>449.88</v>
      </c>
      <c r="Q150" s="182"/>
      <c r="R150" s="182"/>
      <c r="S150" s="181">
        <v>0</v>
      </c>
      <c r="T150" s="181">
        <v>0.5</v>
      </c>
      <c r="U150" s="182"/>
      <c r="V150" s="182"/>
    </row>
    <row r="151" spans="1:22" s="266" customFormat="1" ht="12.75">
      <c r="A151" s="185" t="s">
        <v>143</v>
      </c>
      <c r="B151" s="185" t="s">
        <v>574</v>
      </c>
      <c r="C151" s="181">
        <v>2</v>
      </c>
      <c r="D151" s="181">
        <v>1</v>
      </c>
      <c r="E151" s="182"/>
      <c r="F151" s="182"/>
      <c r="G151" s="181">
        <v>1.58</v>
      </c>
      <c r="H151" s="181">
        <v>0.87</v>
      </c>
      <c r="I151" s="182"/>
      <c r="J151" s="182"/>
      <c r="K151" s="181">
        <v>1</v>
      </c>
      <c r="L151" s="181">
        <v>2.5</v>
      </c>
      <c r="M151" s="182"/>
      <c r="N151" s="182"/>
      <c r="O151" s="181">
        <v>0.88</v>
      </c>
      <c r="P151" s="181">
        <v>0.44</v>
      </c>
      <c r="Q151" s="182"/>
      <c r="R151" s="182"/>
      <c r="S151" s="181">
        <v>0</v>
      </c>
      <c r="T151" s="181">
        <v>0</v>
      </c>
      <c r="U151" s="182"/>
      <c r="V151" s="182"/>
    </row>
    <row r="152" spans="1:22" s="266" customFormat="1" ht="12.75">
      <c r="A152" s="185" t="s">
        <v>144</v>
      </c>
      <c r="B152" s="185" t="s">
        <v>575</v>
      </c>
      <c r="C152" s="181">
        <v>2</v>
      </c>
      <c r="D152" s="181">
        <v>1</v>
      </c>
      <c r="E152" s="182"/>
      <c r="F152" s="182"/>
      <c r="G152" s="181">
        <v>1.64</v>
      </c>
      <c r="H152" s="181">
        <v>0.91</v>
      </c>
      <c r="I152" s="182"/>
      <c r="J152" s="182"/>
      <c r="K152" s="181">
        <v>1</v>
      </c>
      <c r="L152" s="181">
        <v>2.5</v>
      </c>
      <c r="M152" s="182"/>
      <c r="N152" s="182"/>
      <c r="O152" s="181">
        <v>0.88</v>
      </c>
      <c r="P152" s="181">
        <v>0.44</v>
      </c>
      <c r="Q152" s="182"/>
      <c r="R152" s="182"/>
      <c r="S152" s="181">
        <v>0</v>
      </c>
      <c r="T152" s="181">
        <v>0</v>
      </c>
      <c r="U152" s="182"/>
      <c r="V152" s="182"/>
    </row>
    <row r="153" spans="1:22" s="266" customFormat="1" ht="12.75">
      <c r="A153" s="185" t="s">
        <v>145</v>
      </c>
      <c r="B153" s="185" t="s">
        <v>576</v>
      </c>
      <c r="C153" s="181">
        <v>70</v>
      </c>
      <c r="D153" s="181">
        <v>35</v>
      </c>
      <c r="E153" s="182"/>
      <c r="F153" s="182"/>
      <c r="G153" s="181">
        <v>92</v>
      </c>
      <c r="H153" s="181">
        <v>50.6</v>
      </c>
      <c r="I153" s="182"/>
      <c r="J153" s="182"/>
      <c r="K153" s="181">
        <v>150</v>
      </c>
      <c r="L153" s="181">
        <v>99.18</v>
      </c>
      <c r="M153" s="182"/>
      <c r="N153" s="182"/>
      <c r="O153" s="181">
        <v>58.4</v>
      </c>
      <c r="P153" s="181">
        <v>29.2</v>
      </c>
      <c r="Q153" s="182"/>
      <c r="R153" s="182"/>
      <c r="S153" s="181">
        <v>0</v>
      </c>
      <c r="T153" s="181">
        <v>1</v>
      </c>
      <c r="U153" s="182"/>
      <c r="V153" s="182"/>
    </row>
    <row r="154" spans="1:22" s="266" customFormat="1" ht="12.75">
      <c r="A154" s="185" t="s">
        <v>146</v>
      </c>
      <c r="B154" s="185" t="s">
        <v>577</v>
      </c>
      <c r="C154" s="181">
        <v>70</v>
      </c>
      <c r="D154" s="181">
        <v>35</v>
      </c>
      <c r="E154" s="182"/>
      <c r="F154" s="182"/>
      <c r="G154" s="181">
        <v>132</v>
      </c>
      <c r="H154" s="181">
        <v>72.599999999999994</v>
      </c>
      <c r="I154" s="182"/>
      <c r="J154" s="182"/>
      <c r="K154" s="181">
        <v>150</v>
      </c>
      <c r="L154" s="181">
        <v>106.95</v>
      </c>
      <c r="M154" s="182"/>
      <c r="N154" s="182"/>
      <c r="O154" s="181">
        <v>46.98</v>
      </c>
      <c r="P154" s="181">
        <v>23.49</v>
      </c>
      <c r="Q154" s="182"/>
      <c r="R154" s="182"/>
      <c r="S154" s="181">
        <v>0</v>
      </c>
      <c r="T154" s="181">
        <v>1</v>
      </c>
      <c r="U154" s="182"/>
      <c r="V154" s="182"/>
    </row>
    <row r="155" spans="1:22" s="266" customFormat="1" ht="12.75">
      <c r="A155" s="185" t="s">
        <v>147</v>
      </c>
      <c r="B155" s="185" t="s">
        <v>578</v>
      </c>
      <c r="C155" s="181">
        <v>420</v>
      </c>
      <c r="D155" s="181">
        <v>210</v>
      </c>
      <c r="E155" s="182"/>
      <c r="F155" s="182"/>
      <c r="G155" s="181">
        <v>138</v>
      </c>
      <c r="H155" s="181">
        <v>75.900000000000006</v>
      </c>
      <c r="I155" s="182"/>
      <c r="J155" s="182"/>
      <c r="K155" s="181">
        <v>150</v>
      </c>
      <c r="L155" s="181">
        <v>112.13</v>
      </c>
      <c r="M155" s="182"/>
      <c r="N155" s="182"/>
      <c r="O155" s="181">
        <v>46.98</v>
      </c>
      <c r="P155" s="181">
        <v>23.49</v>
      </c>
      <c r="Q155" s="182"/>
      <c r="R155" s="182"/>
      <c r="S155" s="181">
        <v>0</v>
      </c>
      <c r="T155" s="181">
        <v>1</v>
      </c>
      <c r="U155" s="182"/>
      <c r="V155" s="182"/>
    </row>
    <row r="156" spans="1:22" s="266" customFormat="1" ht="12.75">
      <c r="A156" s="185" t="s">
        <v>378</v>
      </c>
      <c r="B156" s="185" t="s">
        <v>379</v>
      </c>
      <c r="C156" s="182"/>
      <c r="D156" s="181">
        <v>0.2</v>
      </c>
      <c r="E156" s="182"/>
      <c r="F156" s="182"/>
      <c r="G156" s="182"/>
      <c r="H156" s="181">
        <v>0.05</v>
      </c>
      <c r="I156" s="182"/>
      <c r="J156" s="182"/>
      <c r="K156" s="182"/>
      <c r="L156" s="181">
        <v>0</v>
      </c>
      <c r="M156" s="182"/>
      <c r="N156" s="182"/>
      <c r="O156" s="182"/>
      <c r="P156" s="181">
        <v>0.27</v>
      </c>
      <c r="Q156" s="182"/>
      <c r="R156" s="182"/>
      <c r="S156" s="182"/>
      <c r="T156" s="181">
        <v>0.1</v>
      </c>
      <c r="U156" s="182"/>
      <c r="V156" s="182"/>
    </row>
    <row r="157" spans="1:22" s="266" customFormat="1" ht="12.75">
      <c r="A157" s="185" t="s">
        <v>380</v>
      </c>
      <c r="B157" s="185" t="s">
        <v>381</v>
      </c>
      <c r="C157" s="182"/>
      <c r="D157" s="181">
        <v>0.22</v>
      </c>
      <c r="E157" s="182"/>
      <c r="F157" s="182"/>
      <c r="G157" s="182"/>
      <c r="H157" s="181">
        <v>0.05</v>
      </c>
      <c r="I157" s="182"/>
      <c r="J157" s="182"/>
      <c r="K157" s="182"/>
      <c r="L157" s="181">
        <v>0</v>
      </c>
      <c r="M157" s="182"/>
      <c r="N157" s="182"/>
      <c r="O157" s="182"/>
      <c r="P157" s="181">
        <v>0.15</v>
      </c>
      <c r="Q157" s="182"/>
      <c r="R157" s="182"/>
      <c r="S157" s="182"/>
      <c r="T157" s="181">
        <v>0.1</v>
      </c>
      <c r="U157" s="182"/>
      <c r="V157" s="182"/>
    </row>
    <row r="158" spans="1:22" s="266" customFormat="1" ht="12.75">
      <c r="A158" s="185" t="s">
        <v>382</v>
      </c>
      <c r="B158" s="185" t="s">
        <v>383</v>
      </c>
      <c r="C158" s="182"/>
      <c r="D158" s="181">
        <v>0.16</v>
      </c>
      <c r="E158" s="182"/>
      <c r="F158" s="182"/>
      <c r="G158" s="182"/>
      <c r="H158" s="181">
        <v>1</v>
      </c>
      <c r="I158" s="182"/>
      <c r="J158" s="182"/>
      <c r="K158" s="182"/>
      <c r="L158" s="181">
        <v>0</v>
      </c>
      <c r="M158" s="182"/>
      <c r="N158" s="182"/>
      <c r="O158" s="182"/>
      <c r="P158" s="181">
        <v>0.16</v>
      </c>
      <c r="Q158" s="182"/>
      <c r="R158" s="182"/>
      <c r="S158" s="182"/>
      <c r="T158" s="181">
        <v>0.1</v>
      </c>
      <c r="U158" s="182"/>
      <c r="V158" s="182"/>
    </row>
    <row r="159" spans="1:22" s="266" customFormat="1" ht="12.75">
      <c r="A159" s="185" t="s">
        <v>384</v>
      </c>
      <c r="B159" s="185" t="s">
        <v>385</v>
      </c>
      <c r="C159" s="182"/>
      <c r="D159" s="181">
        <v>0.14000000000000001</v>
      </c>
      <c r="E159" s="182"/>
      <c r="F159" s="182"/>
      <c r="G159" s="182"/>
      <c r="H159" s="181">
        <v>1</v>
      </c>
      <c r="I159" s="182"/>
      <c r="J159" s="182"/>
      <c r="K159" s="182"/>
      <c r="L159" s="181">
        <v>0</v>
      </c>
      <c r="M159" s="182"/>
      <c r="N159" s="182"/>
      <c r="O159" s="182"/>
      <c r="P159" s="181">
        <v>0.13</v>
      </c>
      <c r="Q159" s="182"/>
      <c r="R159" s="182"/>
      <c r="S159" s="182"/>
      <c r="T159" s="181">
        <v>0.1</v>
      </c>
      <c r="U159" s="182"/>
      <c r="V159" s="182"/>
    </row>
    <row r="160" spans="1:22" s="266" customFormat="1" ht="12.75">
      <c r="A160" s="185" t="s">
        <v>386</v>
      </c>
      <c r="B160" s="185" t="s">
        <v>387</v>
      </c>
      <c r="C160" s="182"/>
      <c r="D160" s="181">
        <v>1.88</v>
      </c>
      <c r="E160" s="182"/>
      <c r="F160" s="182"/>
      <c r="G160" s="182"/>
      <c r="H160" s="181">
        <v>2</v>
      </c>
      <c r="I160" s="182"/>
      <c r="J160" s="182"/>
      <c r="K160" s="182"/>
      <c r="L160" s="181">
        <v>78.3</v>
      </c>
      <c r="M160" s="182"/>
      <c r="N160" s="182"/>
      <c r="O160" s="182"/>
      <c r="P160" s="181">
        <v>11.9</v>
      </c>
      <c r="Q160" s="182"/>
      <c r="R160" s="182"/>
      <c r="S160" s="182"/>
      <c r="T160" s="181">
        <v>0.1</v>
      </c>
      <c r="U160" s="182"/>
      <c r="V160" s="182"/>
    </row>
    <row r="161" spans="1:22" s="266" customFormat="1" ht="12.75">
      <c r="A161" s="185" t="s">
        <v>388</v>
      </c>
      <c r="B161" s="185" t="s">
        <v>389</v>
      </c>
      <c r="C161" s="182"/>
      <c r="D161" s="181">
        <v>0.62</v>
      </c>
      <c r="E161" s="182"/>
      <c r="F161" s="182"/>
      <c r="G161" s="182"/>
      <c r="H161" s="181">
        <v>2</v>
      </c>
      <c r="I161" s="182"/>
      <c r="J161" s="182"/>
      <c r="K161" s="182"/>
      <c r="L161" s="181">
        <v>8.8699999999999992</v>
      </c>
      <c r="M161" s="182"/>
      <c r="N161" s="182"/>
      <c r="O161" s="182"/>
      <c r="P161" s="181">
        <v>10.9</v>
      </c>
      <c r="Q161" s="182"/>
      <c r="R161" s="182"/>
      <c r="S161" s="182"/>
      <c r="T161" s="181">
        <v>0.1</v>
      </c>
      <c r="U161" s="182"/>
      <c r="V161" s="182"/>
    </row>
    <row r="162" spans="1:22" s="266" customFormat="1" ht="12.75">
      <c r="A162" s="185" t="s">
        <v>390</v>
      </c>
      <c r="B162" s="185" t="s">
        <v>391</v>
      </c>
      <c r="C162" s="182"/>
      <c r="D162" s="181">
        <v>0.23</v>
      </c>
      <c r="E162" s="182"/>
      <c r="F162" s="182"/>
      <c r="G162" s="182"/>
      <c r="H162" s="181">
        <v>3</v>
      </c>
      <c r="I162" s="182"/>
      <c r="J162" s="182"/>
      <c r="K162" s="182"/>
      <c r="L162" s="181">
        <v>8.9600000000000009</v>
      </c>
      <c r="M162" s="182"/>
      <c r="N162" s="182"/>
      <c r="O162" s="182"/>
      <c r="P162" s="181">
        <v>9.9</v>
      </c>
      <c r="Q162" s="182"/>
      <c r="R162" s="182"/>
      <c r="S162" s="182"/>
      <c r="T162" s="181">
        <v>0.1</v>
      </c>
      <c r="U162" s="182"/>
      <c r="V162" s="182"/>
    </row>
    <row r="163" spans="1:22" s="266" customFormat="1" ht="12.75">
      <c r="A163" s="185" t="s">
        <v>392</v>
      </c>
      <c r="B163" s="185" t="s">
        <v>393</v>
      </c>
      <c r="C163" s="182"/>
      <c r="D163" s="181">
        <v>0.18</v>
      </c>
      <c r="E163" s="182"/>
      <c r="F163" s="182"/>
      <c r="G163" s="182"/>
      <c r="H163" s="181">
        <v>4</v>
      </c>
      <c r="I163" s="182"/>
      <c r="J163" s="182"/>
      <c r="K163" s="182"/>
      <c r="L163" s="181">
        <v>10.92</v>
      </c>
      <c r="M163" s="182"/>
      <c r="N163" s="182"/>
      <c r="O163" s="182"/>
      <c r="P163" s="181">
        <v>8.9</v>
      </c>
      <c r="Q163" s="182"/>
      <c r="R163" s="182"/>
      <c r="S163" s="182"/>
      <c r="T163" s="181">
        <v>0.1</v>
      </c>
      <c r="U163" s="182"/>
      <c r="V163" s="182"/>
    </row>
    <row r="164" spans="1:22" s="266" customFormat="1" ht="12.75">
      <c r="A164" s="185" t="s">
        <v>394</v>
      </c>
      <c r="B164" s="185" t="s">
        <v>395</v>
      </c>
      <c r="C164" s="182"/>
      <c r="D164" s="181">
        <v>1.88</v>
      </c>
      <c r="E164" s="182"/>
      <c r="F164" s="182"/>
      <c r="G164" s="182"/>
      <c r="H164" s="181">
        <v>2</v>
      </c>
      <c r="I164" s="182"/>
      <c r="J164" s="182"/>
      <c r="K164" s="182"/>
      <c r="L164" s="181">
        <v>78.3</v>
      </c>
      <c r="M164" s="182"/>
      <c r="N164" s="182"/>
      <c r="O164" s="182"/>
      <c r="P164" s="181">
        <v>11.9</v>
      </c>
      <c r="Q164" s="182"/>
      <c r="R164" s="182"/>
      <c r="S164" s="182"/>
      <c r="T164" s="181">
        <v>0.1</v>
      </c>
      <c r="U164" s="182"/>
      <c r="V164" s="182"/>
    </row>
    <row r="165" spans="1:22" s="266" customFormat="1" ht="12.75">
      <c r="A165" s="185" t="s">
        <v>396</v>
      </c>
      <c r="B165" s="185" t="s">
        <v>397</v>
      </c>
      <c r="C165" s="182"/>
      <c r="D165" s="181">
        <v>0.62</v>
      </c>
      <c r="E165" s="182"/>
      <c r="F165" s="182"/>
      <c r="G165" s="182"/>
      <c r="H165" s="181">
        <v>2</v>
      </c>
      <c r="I165" s="182"/>
      <c r="J165" s="182"/>
      <c r="K165" s="182"/>
      <c r="L165" s="181">
        <v>8.8699999999999992</v>
      </c>
      <c r="M165" s="182"/>
      <c r="N165" s="182"/>
      <c r="O165" s="182"/>
      <c r="P165" s="181">
        <v>10.9</v>
      </c>
      <c r="Q165" s="182"/>
      <c r="R165" s="182"/>
      <c r="S165" s="182"/>
      <c r="T165" s="181">
        <v>0.1</v>
      </c>
      <c r="U165" s="182"/>
      <c r="V165" s="182"/>
    </row>
    <row r="166" spans="1:22" s="266" customFormat="1" ht="12.75">
      <c r="A166" s="185" t="s">
        <v>398</v>
      </c>
      <c r="B166" s="185" t="s">
        <v>399</v>
      </c>
      <c r="C166" s="182"/>
      <c r="D166" s="181">
        <v>0.23</v>
      </c>
      <c r="E166" s="182"/>
      <c r="F166" s="182"/>
      <c r="G166" s="182"/>
      <c r="H166" s="181">
        <v>3</v>
      </c>
      <c r="I166" s="182"/>
      <c r="J166" s="182"/>
      <c r="K166" s="182"/>
      <c r="L166" s="181">
        <v>8.9600000000000009</v>
      </c>
      <c r="M166" s="182"/>
      <c r="N166" s="182"/>
      <c r="O166" s="182"/>
      <c r="P166" s="181">
        <v>9.9</v>
      </c>
      <c r="Q166" s="182"/>
      <c r="R166" s="182"/>
      <c r="S166" s="182"/>
      <c r="T166" s="181">
        <v>0.1</v>
      </c>
      <c r="U166" s="182"/>
      <c r="V166" s="182"/>
    </row>
    <row r="167" spans="1:22" s="266" customFormat="1" ht="12.75">
      <c r="A167" s="185" t="s">
        <v>400</v>
      </c>
      <c r="B167" s="185" t="s">
        <v>401</v>
      </c>
      <c r="C167" s="182"/>
      <c r="D167" s="181">
        <v>0.18</v>
      </c>
      <c r="E167" s="182"/>
      <c r="F167" s="182"/>
      <c r="G167" s="182"/>
      <c r="H167" s="181">
        <v>4</v>
      </c>
      <c r="I167" s="182"/>
      <c r="J167" s="182"/>
      <c r="K167" s="182"/>
      <c r="L167" s="181">
        <v>10.92</v>
      </c>
      <c r="M167" s="182"/>
      <c r="N167" s="182"/>
      <c r="O167" s="182"/>
      <c r="P167" s="181">
        <v>8.9</v>
      </c>
      <c r="Q167" s="182"/>
      <c r="R167" s="182"/>
      <c r="S167" s="182"/>
      <c r="T167" s="181">
        <v>0.1</v>
      </c>
      <c r="U167" s="182"/>
      <c r="V167" s="182"/>
    </row>
    <row r="168" spans="1:22" s="266" customFormat="1" ht="12.75">
      <c r="A168" s="185" t="s">
        <v>402</v>
      </c>
      <c r="B168" s="185" t="s">
        <v>403</v>
      </c>
      <c r="C168" s="181">
        <v>30</v>
      </c>
      <c r="D168" s="182"/>
      <c r="E168" s="182"/>
      <c r="F168" s="182"/>
      <c r="G168" s="181">
        <v>2.71</v>
      </c>
      <c r="H168" s="182"/>
      <c r="I168" s="182"/>
      <c r="J168" s="182"/>
      <c r="K168" s="181">
        <v>0.2</v>
      </c>
      <c r="L168" s="182"/>
      <c r="M168" s="182"/>
      <c r="N168" s="182"/>
      <c r="O168" s="181">
        <v>1.36</v>
      </c>
      <c r="P168" s="182"/>
      <c r="Q168" s="182"/>
      <c r="R168" s="182"/>
      <c r="S168" s="181">
        <v>0.5</v>
      </c>
      <c r="T168" s="182"/>
      <c r="U168" s="182"/>
      <c r="V168" s="182"/>
    </row>
    <row r="169" spans="1:22" s="266" customFormat="1" ht="12.75">
      <c r="A169" s="185" t="s">
        <v>404</v>
      </c>
      <c r="B169" s="185" t="s">
        <v>405</v>
      </c>
      <c r="C169" s="182"/>
      <c r="D169" s="181">
        <v>50</v>
      </c>
      <c r="E169" s="182"/>
      <c r="F169" s="182"/>
      <c r="G169" s="182"/>
      <c r="H169" s="181">
        <v>140</v>
      </c>
      <c r="I169" s="182"/>
      <c r="J169" s="182"/>
      <c r="K169" s="182"/>
      <c r="L169" s="181">
        <v>16.25</v>
      </c>
      <c r="M169" s="182"/>
      <c r="N169" s="182"/>
      <c r="O169" s="182"/>
      <c r="P169" s="181">
        <v>117</v>
      </c>
      <c r="Q169" s="182"/>
      <c r="R169" s="182"/>
      <c r="S169" s="182"/>
      <c r="T169" s="181">
        <v>0.5</v>
      </c>
      <c r="U169" s="182"/>
      <c r="V169" s="182"/>
    </row>
    <row r="170" spans="1:22" s="266" customFormat="1" ht="12.75">
      <c r="A170" s="185" t="s">
        <v>406</v>
      </c>
      <c r="B170" s="185" t="s">
        <v>407</v>
      </c>
      <c r="C170" s="182"/>
      <c r="D170" s="182"/>
      <c r="E170" s="268">
        <v>180</v>
      </c>
      <c r="F170" s="268">
        <v>150</v>
      </c>
      <c r="G170" s="182"/>
      <c r="H170" s="182"/>
      <c r="I170" s="268">
        <v>200</v>
      </c>
      <c r="J170" s="268">
        <v>200</v>
      </c>
      <c r="K170" s="182"/>
      <c r="L170" s="182"/>
      <c r="M170" s="268">
        <v>100</v>
      </c>
      <c r="N170" s="268">
        <v>61</v>
      </c>
      <c r="O170" s="182"/>
      <c r="P170" s="182"/>
      <c r="Q170" s="184">
        <v>243</v>
      </c>
      <c r="R170" s="184">
        <v>243</v>
      </c>
      <c r="S170" s="182"/>
      <c r="T170" s="182"/>
      <c r="U170" s="268">
        <v>100</v>
      </c>
      <c r="V170" s="268">
        <v>5</v>
      </c>
    </row>
    <row r="171" spans="1:22" s="266" customFormat="1" ht="25.5">
      <c r="A171" s="185" t="s">
        <v>408</v>
      </c>
      <c r="B171" s="185" t="s">
        <v>409</v>
      </c>
      <c r="C171" s="182"/>
      <c r="D171" s="182"/>
      <c r="E171" s="182"/>
      <c r="F171" s="268">
        <v>150</v>
      </c>
      <c r="G171" s="182"/>
      <c r="H171" s="182"/>
      <c r="I171" s="182"/>
      <c r="J171" s="268">
        <v>110</v>
      </c>
      <c r="K171" s="182"/>
      <c r="L171" s="182"/>
      <c r="M171" s="182"/>
      <c r="N171" s="268">
        <v>10</v>
      </c>
      <c r="O171" s="182"/>
      <c r="P171" s="182"/>
      <c r="Q171" s="182"/>
      <c r="R171" s="184">
        <v>110</v>
      </c>
      <c r="S171" s="182"/>
      <c r="T171" s="182"/>
      <c r="U171" s="182"/>
      <c r="V171" s="268">
        <v>5</v>
      </c>
    </row>
    <row r="172" spans="1:22" s="266" customFormat="1" ht="25.5">
      <c r="A172" s="185" t="s">
        <v>410</v>
      </c>
      <c r="B172" s="185" t="s">
        <v>411</v>
      </c>
      <c r="C172" s="182"/>
      <c r="D172" s="182"/>
      <c r="E172" s="268">
        <v>180</v>
      </c>
      <c r="F172" s="268">
        <v>160</v>
      </c>
      <c r="G172" s="182"/>
      <c r="H172" s="182"/>
      <c r="I172" s="268">
        <v>210</v>
      </c>
      <c r="J172" s="268">
        <v>210</v>
      </c>
      <c r="K172" s="182"/>
      <c r="L172" s="182"/>
      <c r="M172" s="268">
        <v>100</v>
      </c>
      <c r="N172" s="268">
        <v>71</v>
      </c>
      <c r="O172" s="182"/>
      <c r="P172" s="182"/>
      <c r="Q172" s="184">
        <v>243</v>
      </c>
      <c r="R172" s="184">
        <v>253</v>
      </c>
      <c r="S172" s="182"/>
      <c r="T172" s="182"/>
      <c r="U172" s="268">
        <v>100</v>
      </c>
      <c r="V172" s="268">
        <v>5</v>
      </c>
    </row>
    <row r="173" spans="1:22" s="266" customFormat="1" ht="12.75">
      <c r="A173" s="268" t="s">
        <v>154</v>
      </c>
      <c r="B173" s="268" t="s">
        <v>412</v>
      </c>
      <c r="C173" s="181">
        <v>405.15</v>
      </c>
      <c r="D173" s="182"/>
      <c r="E173" s="182"/>
      <c r="F173" s="182"/>
      <c r="G173" s="181">
        <v>380</v>
      </c>
      <c r="H173" s="182"/>
      <c r="I173" s="182"/>
      <c r="J173" s="182"/>
      <c r="K173" s="181">
        <v>550</v>
      </c>
      <c r="L173" s="182"/>
      <c r="M173" s="182"/>
      <c r="N173" s="182"/>
      <c r="O173" s="181">
        <v>398</v>
      </c>
      <c r="P173" s="182"/>
      <c r="Q173" s="182"/>
      <c r="R173" s="182"/>
      <c r="S173" s="181">
        <v>390</v>
      </c>
      <c r="T173" s="182"/>
      <c r="U173" s="182"/>
      <c r="V173" s="182"/>
    </row>
    <row r="174" spans="1:22" s="266" customFormat="1" ht="12.75">
      <c r="A174" s="268" t="s">
        <v>156</v>
      </c>
      <c r="B174" s="268" t="s">
        <v>413</v>
      </c>
      <c r="C174" s="181">
        <v>337.13</v>
      </c>
      <c r="D174" s="182"/>
      <c r="E174" s="182"/>
      <c r="F174" s="182"/>
      <c r="G174" s="181">
        <v>280</v>
      </c>
      <c r="H174" s="182"/>
      <c r="I174" s="182"/>
      <c r="J174" s="182"/>
      <c r="K174" s="181">
        <v>345</v>
      </c>
      <c r="L174" s="182"/>
      <c r="M174" s="182"/>
      <c r="N174" s="182"/>
      <c r="O174" s="181">
        <v>326</v>
      </c>
      <c r="P174" s="182"/>
      <c r="Q174" s="182"/>
      <c r="R174" s="182"/>
      <c r="S174" s="181">
        <v>330</v>
      </c>
      <c r="T174" s="182"/>
      <c r="U174" s="182"/>
      <c r="V174" s="182"/>
    </row>
    <row r="175" spans="1:22" s="266" customFormat="1" ht="12.75">
      <c r="A175" s="268" t="s">
        <v>158</v>
      </c>
      <c r="B175" s="268" t="s">
        <v>414</v>
      </c>
      <c r="C175" s="181">
        <v>248.31</v>
      </c>
      <c r="D175" s="182"/>
      <c r="E175" s="182"/>
      <c r="F175" s="182"/>
      <c r="G175" s="181">
        <v>210</v>
      </c>
      <c r="H175" s="182"/>
      <c r="I175" s="182"/>
      <c r="J175" s="182"/>
      <c r="K175" s="181">
        <v>240</v>
      </c>
      <c r="L175" s="182"/>
      <c r="M175" s="182"/>
      <c r="N175" s="182"/>
      <c r="O175" s="181">
        <v>294</v>
      </c>
      <c r="P175" s="182"/>
      <c r="Q175" s="182"/>
      <c r="R175" s="182"/>
      <c r="S175" s="181">
        <v>280</v>
      </c>
      <c r="T175" s="182"/>
      <c r="U175" s="182"/>
      <c r="V175" s="182"/>
    </row>
    <row r="176" spans="1:22" s="266" customFormat="1" ht="12.75">
      <c r="A176" s="268" t="s">
        <v>160</v>
      </c>
      <c r="B176" s="268" t="s">
        <v>415</v>
      </c>
      <c r="C176" s="181">
        <v>405.15</v>
      </c>
      <c r="D176" s="182"/>
      <c r="E176" s="182"/>
      <c r="F176" s="182"/>
      <c r="G176" s="181">
        <v>380</v>
      </c>
      <c r="H176" s="182"/>
      <c r="I176" s="182"/>
      <c r="J176" s="182"/>
      <c r="K176" s="181">
        <v>550</v>
      </c>
      <c r="L176" s="182"/>
      <c r="M176" s="182"/>
      <c r="N176" s="182"/>
      <c r="O176" s="181">
        <v>398</v>
      </c>
      <c r="P176" s="182"/>
      <c r="Q176" s="182"/>
      <c r="R176" s="182"/>
      <c r="S176" s="181">
        <v>390</v>
      </c>
      <c r="T176" s="182"/>
      <c r="U176" s="182"/>
      <c r="V176" s="182"/>
    </row>
    <row r="177" spans="1:22" s="266" customFormat="1" ht="12.75">
      <c r="A177" s="268" t="s">
        <v>162</v>
      </c>
      <c r="B177" s="268" t="s">
        <v>416</v>
      </c>
      <c r="C177" s="181">
        <v>337.13</v>
      </c>
      <c r="D177" s="182"/>
      <c r="E177" s="182"/>
      <c r="F177" s="182"/>
      <c r="G177" s="181">
        <v>280</v>
      </c>
      <c r="H177" s="182"/>
      <c r="I177" s="182"/>
      <c r="J177" s="182"/>
      <c r="K177" s="181">
        <v>345</v>
      </c>
      <c r="L177" s="182"/>
      <c r="M177" s="182"/>
      <c r="N177" s="182"/>
      <c r="O177" s="181">
        <v>326</v>
      </c>
      <c r="P177" s="182"/>
      <c r="Q177" s="182"/>
      <c r="R177" s="182"/>
      <c r="S177" s="181">
        <v>330</v>
      </c>
      <c r="T177" s="182"/>
      <c r="U177" s="182"/>
      <c r="V177" s="182"/>
    </row>
    <row r="178" spans="1:22" s="266" customFormat="1" ht="12.75">
      <c r="A178" s="268" t="s">
        <v>164</v>
      </c>
      <c r="B178" s="268" t="s">
        <v>417</v>
      </c>
      <c r="C178" s="181">
        <v>248.31</v>
      </c>
      <c r="D178" s="182"/>
      <c r="E178" s="182"/>
      <c r="F178" s="182"/>
      <c r="G178" s="181">
        <v>210</v>
      </c>
      <c r="H178" s="182"/>
      <c r="I178" s="182"/>
      <c r="J178" s="182"/>
      <c r="K178" s="181">
        <v>240</v>
      </c>
      <c r="L178" s="182"/>
      <c r="M178" s="182"/>
      <c r="N178" s="182"/>
      <c r="O178" s="181">
        <v>294</v>
      </c>
      <c r="P178" s="182"/>
      <c r="Q178" s="182"/>
      <c r="R178" s="182"/>
      <c r="S178" s="181">
        <v>280</v>
      </c>
      <c r="T178" s="182"/>
      <c r="U178" s="182"/>
      <c r="V178" s="182"/>
    </row>
    <row r="179" spans="1:22" s="266" customFormat="1" ht="12.75">
      <c r="A179" s="268" t="s">
        <v>166</v>
      </c>
      <c r="B179" s="268" t="s">
        <v>418</v>
      </c>
      <c r="C179" s="181">
        <v>500</v>
      </c>
      <c r="D179" s="182"/>
      <c r="E179" s="182"/>
      <c r="F179" s="182"/>
      <c r="G179" s="181">
        <v>380</v>
      </c>
      <c r="H179" s="182"/>
      <c r="I179" s="182"/>
      <c r="J179" s="182"/>
      <c r="K179" s="181">
        <v>550</v>
      </c>
      <c r="L179" s="182"/>
      <c r="M179" s="182"/>
      <c r="N179" s="182"/>
      <c r="O179" s="181">
        <v>398</v>
      </c>
      <c r="P179" s="182"/>
      <c r="Q179" s="182"/>
      <c r="R179" s="182"/>
      <c r="S179" s="181">
        <v>390</v>
      </c>
      <c r="T179" s="182"/>
      <c r="U179" s="182"/>
      <c r="V179" s="182"/>
    </row>
    <row r="180" spans="1:22" s="266" customFormat="1" ht="12.75">
      <c r="A180" s="268" t="s">
        <v>168</v>
      </c>
      <c r="B180" s="268" t="s">
        <v>419</v>
      </c>
      <c r="C180" s="181">
        <v>410</v>
      </c>
      <c r="D180" s="182"/>
      <c r="E180" s="182"/>
      <c r="F180" s="182"/>
      <c r="G180" s="181">
        <v>280</v>
      </c>
      <c r="H180" s="182"/>
      <c r="I180" s="182"/>
      <c r="J180" s="182"/>
      <c r="K180" s="181">
        <v>345</v>
      </c>
      <c r="L180" s="182"/>
      <c r="M180" s="182"/>
      <c r="N180" s="182"/>
      <c r="O180" s="181">
        <v>326</v>
      </c>
      <c r="P180" s="182"/>
      <c r="Q180" s="182"/>
      <c r="R180" s="182"/>
      <c r="S180" s="181">
        <v>330</v>
      </c>
      <c r="T180" s="182"/>
      <c r="U180" s="182"/>
      <c r="V180" s="182"/>
    </row>
    <row r="181" spans="1:22" s="266" customFormat="1" ht="12.75">
      <c r="A181" s="268" t="s">
        <v>170</v>
      </c>
      <c r="B181" s="268" t="s">
        <v>420</v>
      </c>
      <c r="C181" s="181">
        <v>260</v>
      </c>
      <c r="D181" s="182"/>
      <c r="E181" s="182"/>
      <c r="F181" s="182"/>
      <c r="G181" s="181">
        <v>210</v>
      </c>
      <c r="H181" s="182"/>
      <c r="I181" s="182"/>
      <c r="J181" s="182"/>
      <c r="K181" s="181">
        <v>240</v>
      </c>
      <c r="L181" s="182"/>
      <c r="M181" s="182"/>
      <c r="N181" s="182"/>
      <c r="O181" s="181">
        <v>294</v>
      </c>
      <c r="P181" s="182"/>
      <c r="Q181" s="182"/>
      <c r="R181" s="182"/>
      <c r="S181" s="181">
        <v>280</v>
      </c>
      <c r="T181" s="182"/>
      <c r="U181" s="182"/>
      <c r="V181" s="182"/>
    </row>
    <row r="182" spans="1:22" s="266" customFormat="1" ht="12.75">
      <c r="A182" s="268" t="s">
        <v>172</v>
      </c>
      <c r="B182" s="268" t="s">
        <v>421</v>
      </c>
      <c r="C182" s="181">
        <v>500</v>
      </c>
      <c r="D182" s="182"/>
      <c r="E182" s="182"/>
      <c r="F182" s="182"/>
      <c r="G182" s="181">
        <v>380</v>
      </c>
      <c r="H182" s="182"/>
      <c r="I182" s="182"/>
      <c r="J182" s="182"/>
      <c r="K182" s="181">
        <v>550</v>
      </c>
      <c r="L182" s="182"/>
      <c r="M182" s="182"/>
      <c r="N182" s="182"/>
      <c r="O182" s="181">
        <v>398</v>
      </c>
      <c r="P182" s="182"/>
      <c r="Q182" s="182"/>
      <c r="R182" s="182"/>
      <c r="S182" s="181">
        <v>390</v>
      </c>
      <c r="T182" s="182"/>
      <c r="U182" s="182"/>
      <c r="V182" s="182"/>
    </row>
    <row r="183" spans="1:22" s="266" customFormat="1" ht="12.75">
      <c r="A183" s="268" t="s">
        <v>174</v>
      </c>
      <c r="B183" s="268" t="s">
        <v>422</v>
      </c>
      <c r="C183" s="181">
        <v>410</v>
      </c>
      <c r="D183" s="182"/>
      <c r="E183" s="182"/>
      <c r="F183" s="182"/>
      <c r="G183" s="181">
        <v>280</v>
      </c>
      <c r="H183" s="182"/>
      <c r="I183" s="182"/>
      <c r="J183" s="182"/>
      <c r="K183" s="181">
        <v>345</v>
      </c>
      <c r="L183" s="182"/>
      <c r="M183" s="182"/>
      <c r="N183" s="182"/>
      <c r="O183" s="181">
        <v>326</v>
      </c>
      <c r="P183" s="182"/>
      <c r="Q183" s="182"/>
      <c r="R183" s="182"/>
      <c r="S183" s="181">
        <v>330</v>
      </c>
      <c r="T183" s="182"/>
      <c r="U183" s="182"/>
      <c r="V183" s="182"/>
    </row>
    <row r="184" spans="1:22" s="266" customFormat="1" ht="12.75">
      <c r="A184" s="268" t="s">
        <v>176</v>
      </c>
      <c r="B184" s="268" t="s">
        <v>423</v>
      </c>
      <c r="C184" s="181">
        <v>260</v>
      </c>
      <c r="D184" s="182"/>
      <c r="E184" s="182"/>
      <c r="F184" s="182"/>
      <c r="G184" s="181">
        <v>210</v>
      </c>
      <c r="H184" s="182"/>
      <c r="I184" s="182"/>
      <c r="J184" s="182"/>
      <c r="K184" s="181">
        <v>240</v>
      </c>
      <c r="L184" s="182"/>
      <c r="M184" s="182"/>
      <c r="N184" s="182"/>
      <c r="O184" s="181">
        <v>294</v>
      </c>
      <c r="P184" s="182"/>
      <c r="Q184" s="182"/>
      <c r="R184" s="182"/>
      <c r="S184" s="181">
        <v>280</v>
      </c>
      <c r="T184" s="182"/>
      <c r="U184" s="182"/>
      <c r="V184" s="182"/>
    </row>
    <row r="185" spans="1:22" s="266" customFormat="1" ht="12.75">
      <c r="A185" s="268" t="s">
        <v>178</v>
      </c>
      <c r="B185" s="268" t="s">
        <v>424</v>
      </c>
      <c r="C185" s="181">
        <v>550</v>
      </c>
      <c r="D185" s="182"/>
      <c r="E185" s="182"/>
      <c r="F185" s="182"/>
      <c r="G185" s="181">
        <v>380</v>
      </c>
      <c r="H185" s="182"/>
      <c r="I185" s="182"/>
      <c r="J185" s="182"/>
      <c r="K185" s="181">
        <v>550</v>
      </c>
      <c r="L185" s="182"/>
      <c r="M185" s="182"/>
      <c r="N185" s="182"/>
      <c r="O185" s="181">
        <v>398</v>
      </c>
      <c r="P185" s="182"/>
      <c r="Q185" s="182"/>
      <c r="R185" s="182"/>
      <c r="S185" s="181">
        <v>390</v>
      </c>
      <c r="T185" s="182"/>
      <c r="U185" s="182"/>
      <c r="V185" s="182"/>
    </row>
    <row r="186" spans="1:22" s="266" customFormat="1" ht="12.75">
      <c r="A186" s="268" t="s">
        <v>180</v>
      </c>
      <c r="B186" s="268" t="s">
        <v>425</v>
      </c>
      <c r="C186" s="181">
        <v>400</v>
      </c>
      <c r="D186" s="182"/>
      <c r="E186" s="182"/>
      <c r="F186" s="182"/>
      <c r="G186" s="181">
        <v>280</v>
      </c>
      <c r="H186" s="182"/>
      <c r="I186" s="182"/>
      <c r="J186" s="182"/>
      <c r="K186" s="181">
        <v>345</v>
      </c>
      <c r="L186" s="182"/>
      <c r="M186" s="182"/>
      <c r="N186" s="182"/>
      <c r="O186" s="181">
        <v>326</v>
      </c>
      <c r="P186" s="182"/>
      <c r="Q186" s="182"/>
      <c r="R186" s="182"/>
      <c r="S186" s="181">
        <v>330</v>
      </c>
      <c r="T186" s="182"/>
      <c r="U186" s="182"/>
      <c r="V186" s="182"/>
    </row>
    <row r="187" spans="1:22" s="266" customFormat="1" ht="12.75">
      <c r="A187" s="268" t="s">
        <v>182</v>
      </c>
      <c r="B187" s="268" t="s">
        <v>426</v>
      </c>
      <c r="C187" s="181">
        <v>380</v>
      </c>
      <c r="D187" s="182"/>
      <c r="E187" s="182"/>
      <c r="F187" s="182"/>
      <c r="G187" s="181">
        <v>210</v>
      </c>
      <c r="H187" s="182"/>
      <c r="I187" s="182"/>
      <c r="J187" s="182"/>
      <c r="K187" s="181">
        <v>240</v>
      </c>
      <c r="L187" s="182"/>
      <c r="M187" s="182"/>
      <c r="N187" s="182"/>
      <c r="O187" s="181">
        <v>294</v>
      </c>
      <c r="P187" s="182"/>
      <c r="Q187" s="182"/>
      <c r="R187" s="182"/>
      <c r="S187" s="181">
        <v>280</v>
      </c>
      <c r="T187" s="182"/>
      <c r="U187" s="182"/>
      <c r="V187" s="182"/>
    </row>
    <row r="188" spans="1:22" s="266" customFormat="1" ht="12.75">
      <c r="A188" s="268" t="s">
        <v>184</v>
      </c>
      <c r="B188" s="268" t="s">
        <v>427</v>
      </c>
      <c r="C188" s="181">
        <v>600</v>
      </c>
      <c r="D188" s="182"/>
      <c r="E188" s="182"/>
      <c r="F188" s="182"/>
      <c r="G188" s="181">
        <v>380</v>
      </c>
      <c r="H188" s="182"/>
      <c r="I188" s="182"/>
      <c r="J188" s="182"/>
      <c r="K188" s="181">
        <v>550</v>
      </c>
      <c r="L188" s="182"/>
      <c r="M188" s="182"/>
      <c r="N188" s="182"/>
      <c r="O188" s="181">
        <v>398</v>
      </c>
      <c r="P188" s="182"/>
      <c r="Q188" s="182"/>
      <c r="R188" s="182"/>
      <c r="S188" s="181">
        <v>390</v>
      </c>
      <c r="T188" s="182"/>
      <c r="U188" s="182"/>
      <c r="V188" s="182"/>
    </row>
    <row r="189" spans="1:22" s="266" customFormat="1" ht="12.75">
      <c r="A189" s="268" t="s">
        <v>186</v>
      </c>
      <c r="B189" s="268" t="s">
        <v>428</v>
      </c>
      <c r="C189" s="181">
        <v>450</v>
      </c>
      <c r="D189" s="182"/>
      <c r="E189" s="182"/>
      <c r="F189" s="182"/>
      <c r="G189" s="181">
        <v>280</v>
      </c>
      <c r="H189" s="182"/>
      <c r="I189" s="182"/>
      <c r="J189" s="182"/>
      <c r="K189" s="181">
        <v>345</v>
      </c>
      <c r="L189" s="182"/>
      <c r="M189" s="182"/>
      <c r="N189" s="182"/>
      <c r="O189" s="181">
        <v>326</v>
      </c>
      <c r="P189" s="182"/>
      <c r="Q189" s="182"/>
      <c r="R189" s="182"/>
      <c r="S189" s="181">
        <v>330</v>
      </c>
      <c r="T189" s="182"/>
      <c r="U189" s="182"/>
      <c r="V189" s="182"/>
    </row>
    <row r="190" spans="1:22" s="266" customFormat="1" ht="12.75">
      <c r="A190" s="268" t="s">
        <v>188</v>
      </c>
      <c r="B190" s="268" t="s">
        <v>429</v>
      </c>
      <c r="C190" s="181">
        <v>400</v>
      </c>
      <c r="D190" s="182"/>
      <c r="E190" s="182"/>
      <c r="F190" s="182"/>
      <c r="G190" s="181">
        <v>210</v>
      </c>
      <c r="H190" s="182"/>
      <c r="I190" s="182"/>
      <c r="J190" s="182"/>
      <c r="K190" s="181">
        <v>240</v>
      </c>
      <c r="L190" s="182"/>
      <c r="M190" s="182"/>
      <c r="N190" s="182"/>
      <c r="O190" s="181">
        <v>294</v>
      </c>
      <c r="P190" s="182"/>
      <c r="Q190" s="182"/>
      <c r="R190" s="182"/>
      <c r="S190" s="181">
        <v>280</v>
      </c>
      <c r="T190" s="182"/>
      <c r="U190" s="182"/>
      <c r="V190" s="182"/>
    </row>
    <row r="191" spans="1:22" ht="12.75">
      <c r="A191" s="268" t="s">
        <v>190</v>
      </c>
      <c r="B191" s="268" t="s">
        <v>430</v>
      </c>
      <c r="C191" s="181">
        <v>405.15</v>
      </c>
      <c r="D191" s="182"/>
      <c r="E191" s="182"/>
      <c r="F191" s="182"/>
      <c r="G191" s="181">
        <v>380</v>
      </c>
      <c r="H191" s="182"/>
      <c r="I191" s="182"/>
      <c r="J191" s="182"/>
      <c r="K191" s="181">
        <v>550</v>
      </c>
      <c r="L191" s="182"/>
      <c r="M191" s="182"/>
      <c r="N191" s="182"/>
      <c r="O191" s="181">
        <v>398</v>
      </c>
      <c r="P191" s="182"/>
      <c r="Q191" s="182"/>
      <c r="R191" s="182"/>
      <c r="S191" s="181">
        <v>390</v>
      </c>
      <c r="T191" s="182"/>
      <c r="U191" s="182"/>
      <c r="V191" s="182"/>
    </row>
    <row r="192" spans="1:22" ht="12.75">
      <c r="A192" s="268" t="s">
        <v>192</v>
      </c>
      <c r="B192" s="268" t="s">
        <v>431</v>
      </c>
      <c r="C192" s="181">
        <v>337.13</v>
      </c>
      <c r="D192" s="182"/>
      <c r="E192" s="182"/>
      <c r="F192" s="182"/>
      <c r="G192" s="181">
        <v>280</v>
      </c>
      <c r="H192" s="182"/>
      <c r="I192" s="182"/>
      <c r="J192" s="182"/>
      <c r="K192" s="181">
        <v>345</v>
      </c>
      <c r="L192" s="182"/>
      <c r="M192" s="182"/>
      <c r="N192" s="182"/>
      <c r="O192" s="181">
        <v>326</v>
      </c>
      <c r="P192" s="182"/>
      <c r="Q192" s="182"/>
      <c r="R192" s="182"/>
      <c r="S192" s="181">
        <v>330</v>
      </c>
      <c r="T192" s="182"/>
      <c r="U192" s="182"/>
      <c r="V192" s="182"/>
    </row>
    <row r="193" spans="1:22" ht="12.75">
      <c r="A193" s="268" t="s">
        <v>194</v>
      </c>
      <c r="B193" s="268" t="s">
        <v>432</v>
      </c>
      <c r="C193" s="181">
        <v>248.31</v>
      </c>
      <c r="D193" s="182"/>
      <c r="E193" s="182"/>
      <c r="F193" s="182"/>
      <c r="G193" s="181">
        <v>210</v>
      </c>
      <c r="H193" s="182"/>
      <c r="I193" s="182"/>
      <c r="J193" s="182"/>
      <c r="K193" s="181">
        <v>240</v>
      </c>
      <c r="L193" s="182"/>
      <c r="M193" s="182"/>
      <c r="N193" s="182"/>
      <c r="O193" s="181">
        <v>294</v>
      </c>
      <c r="P193" s="182"/>
      <c r="Q193" s="182"/>
      <c r="R193" s="182"/>
      <c r="S193" s="181">
        <v>280</v>
      </c>
      <c r="T193" s="182"/>
      <c r="U193" s="182"/>
      <c r="V193" s="182"/>
    </row>
    <row r="194" spans="1:22" ht="12.75">
      <c r="A194" s="268" t="s">
        <v>196</v>
      </c>
      <c r="B194" s="268" t="s">
        <v>433</v>
      </c>
      <c r="C194" s="181">
        <v>600</v>
      </c>
      <c r="D194" s="182"/>
      <c r="E194" s="182"/>
      <c r="F194" s="182"/>
      <c r="G194" s="181">
        <v>800</v>
      </c>
      <c r="H194" s="182"/>
      <c r="I194" s="182"/>
      <c r="J194" s="182"/>
      <c r="K194" s="181">
        <v>935.00000000000011</v>
      </c>
      <c r="L194" s="182"/>
      <c r="M194" s="182"/>
      <c r="N194" s="182"/>
      <c r="O194" s="181">
        <v>343.62</v>
      </c>
      <c r="P194" s="182"/>
      <c r="Q194" s="182"/>
      <c r="R194" s="182"/>
      <c r="S194" s="181">
        <v>600</v>
      </c>
      <c r="T194" s="182"/>
      <c r="U194" s="182"/>
      <c r="V194" s="182"/>
    </row>
    <row r="195" spans="1:22" ht="12.75">
      <c r="A195" s="268" t="s">
        <v>198</v>
      </c>
      <c r="B195" s="268" t="s">
        <v>434</v>
      </c>
      <c r="C195" s="181">
        <v>750</v>
      </c>
      <c r="D195" s="182"/>
      <c r="E195" s="182"/>
      <c r="F195" s="182"/>
      <c r="G195" s="181">
        <v>1300</v>
      </c>
      <c r="H195" s="182"/>
      <c r="I195" s="182"/>
      <c r="J195" s="182"/>
      <c r="K195" s="181">
        <v>1045</v>
      </c>
      <c r="L195" s="182"/>
      <c r="M195" s="182"/>
      <c r="N195" s="182"/>
      <c r="O195" s="181">
        <v>565.23</v>
      </c>
      <c r="P195" s="182"/>
      <c r="Q195" s="182"/>
      <c r="R195" s="182"/>
      <c r="S195" s="181">
        <v>1200</v>
      </c>
      <c r="T195" s="182"/>
      <c r="U195" s="182"/>
      <c r="V195" s="182"/>
    </row>
    <row r="196" spans="1:22" ht="12.75">
      <c r="A196" s="268" t="s">
        <v>200</v>
      </c>
      <c r="B196" s="268" t="s">
        <v>435</v>
      </c>
      <c r="C196" s="181">
        <v>900</v>
      </c>
      <c r="D196" s="182"/>
      <c r="E196" s="182"/>
      <c r="F196" s="182"/>
      <c r="G196" s="181">
        <v>1800</v>
      </c>
      <c r="H196" s="182"/>
      <c r="I196" s="182"/>
      <c r="J196" s="182"/>
      <c r="K196" s="181">
        <v>1210</v>
      </c>
      <c r="L196" s="182"/>
      <c r="M196" s="182"/>
      <c r="N196" s="182"/>
      <c r="O196" s="181">
        <v>639.1</v>
      </c>
      <c r="P196" s="182"/>
      <c r="Q196" s="182"/>
      <c r="R196" s="182"/>
      <c r="S196" s="181">
        <v>1200</v>
      </c>
      <c r="T196" s="182"/>
      <c r="U196" s="182"/>
      <c r="V196" s="182"/>
    </row>
    <row r="197" spans="1:22" ht="12.75">
      <c r="A197" s="268" t="s">
        <v>202</v>
      </c>
      <c r="B197" s="268" t="s">
        <v>436</v>
      </c>
      <c r="C197" s="181">
        <v>500</v>
      </c>
      <c r="D197" s="182"/>
      <c r="E197" s="182"/>
      <c r="F197" s="182"/>
      <c r="G197" s="181">
        <v>100</v>
      </c>
      <c r="H197" s="182"/>
      <c r="I197" s="182"/>
      <c r="J197" s="182"/>
      <c r="K197" s="181">
        <v>275</v>
      </c>
      <c r="L197" s="182"/>
      <c r="M197" s="182"/>
      <c r="N197" s="182"/>
      <c r="O197" s="181">
        <v>167.89</v>
      </c>
      <c r="P197" s="182"/>
      <c r="Q197" s="182"/>
      <c r="R197" s="182"/>
      <c r="S197" s="181">
        <v>300</v>
      </c>
      <c r="T197" s="182"/>
      <c r="U197" s="182"/>
      <c r="V197" s="182"/>
    </row>
    <row r="198" spans="1:22" ht="12.75">
      <c r="A198" s="268" t="s">
        <v>204</v>
      </c>
      <c r="B198" s="268" t="s">
        <v>437</v>
      </c>
      <c r="C198" s="181">
        <v>550</v>
      </c>
      <c r="D198" s="182"/>
      <c r="E198" s="182"/>
      <c r="F198" s="182"/>
      <c r="G198" s="181">
        <v>150</v>
      </c>
      <c r="H198" s="182"/>
      <c r="I198" s="182"/>
      <c r="J198" s="182"/>
      <c r="K198" s="181">
        <v>330</v>
      </c>
      <c r="L198" s="182"/>
      <c r="M198" s="182"/>
      <c r="N198" s="182"/>
      <c r="O198" s="181">
        <v>461.7</v>
      </c>
      <c r="P198" s="182"/>
      <c r="Q198" s="182"/>
      <c r="R198" s="182"/>
      <c r="S198" s="181">
        <v>800</v>
      </c>
      <c r="T198" s="182"/>
      <c r="U198" s="182"/>
      <c r="V198" s="182"/>
    </row>
  </sheetData>
  <sheetProtection sheet="1" objects="1" scenarios="1"/>
  <mergeCells count="5">
    <mergeCell ref="S1:V1"/>
    <mergeCell ref="C1:F1"/>
    <mergeCell ref="G1:J1"/>
    <mergeCell ref="K1:N1"/>
    <mergeCell ref="O1:R1"/>
  </mergeCells>
  <phoneticPr fontId="35" type="noConversion"/>
  <dataValidations count="1">
    <dataValidation type="decimal" operator="equal" allowBlank="1" showInputMessage="1" showErrorMessage="1" sqref="Q171 E173:F198 I171 M171 E3:F44 E123:F169 P148:P149 C156:C167 D168 C169:C172 D170:D198 E171 I173:J198 I3:J44 I123:J169 D148:D149 G156:G167 H168 G169:G172 H170:H198 M173:N198 M3:N44 M123:N169 H148:H149 K156:K167 L168 K169:K172 L170:L198 Q173:R198 Q3:R44 Q123:R169 L148:L149 O156:O167 P168 O169:O172 P170:P198 U171 U173:V198 U3:V44 U123:V169 S156:S167 T168 S169:S172 T170:T198 T148:T149">
      <formula1>0</formula1>
    </dataValidation>
  </dataValidations>
  <pageMargins left="0.7" right="0.7" top="0.75" bottom="0.75" header="0.3" footer="0.3"/>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13</vt:i4>
      </vt:variant>
      <vt:variant>
        <vt:lpstr>Intervalli denominati</vt:lpstr>
      </vt:variant>
      <vt:variant>
        <vt:i4>1</vt:i4>
      </vt:variant>
    </vt:vector>
  </HeadingPairs>
  <TitlesOfParts>
    <vt:vector size="14" baseType="lpstr">
      <vt:lpstr>Note compilazione</vt:lpstr>
      <vt:lpstr>Dati generali-anagrafici</vt:lpstr>
      <vt:lpstr>Servizi di Trasporto Dati</vt:lpstr>
      <vt:lpstr>Servizi di Posta Elettronica</vt:lpstr>
      <vt:lpstr>Servizi di Sicurezza Perimetr.</vt:lpstr>
      <vt:lpstr>Servizi Com. Evoluta - VoIP</vt:lpstr>
      <vt:lpstr>Servizi Com. Evoluta-Telepres.</vt:lpstr>
      <vt:lpstr>Servizi di Supp. Professionale</vt:lpstr>
      <vt:lpstr>Listini</vt:lpstr>
      <vt:lpstr>Base d'asta</vt:lpstr>
      <vt:lpstr>Riepilogo Fabbisogni</vt:lpstr>
      <vt:lpstr>Listino Offerta</vt:lpstr>
      <vt:lpstr>Riepilogo Costi Contratto</vt:lpstr>
      <vt:lpstr>'Base d''asta'!Area_stampa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miche</dc:creator>
  <cp:lastModifiedBy>floriog</cp:lastModifiedBy>
  <cp:lastPrinted>2022-10-03T09:22:53Z</cp:lastPrinted>
  <dcterms:created xsi:type="dcterms:W3CDTF">2015-05-19T15:34:40Z</dcterms:created>
  <dcterms:modified xsi:type="dcterms:W3CDTF">2022-10-06T09:10:59Z</dcterms:modified>
</cp:coreProperties>
</file>